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3"/>
  </bookViews>
  <sheets>
    <sheet name="Servente E Enc." sheetId="1" r:id="rId1"/>
    <sheet name="EncARREGADO" sheetId="2" r:id="rId2"/>
    <sheet name="Anexo IV" sheetId="3" r:id="rId3"/>
    <sheet name="Anexos II e III" sheetId="4" r:id="rId4"/>
    <sheet name="Plan1" sheetId="5" r:id="rId5"/>
  </sheets>
  <definedNames>
    <definedName name="_1Excel_BuiltIn_Print_Area_1_1" localSheetId="1">#REF!</definedName>
    <definedName name="_1Excel_BuiltIn_Print_Area_1_1">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OLE_LINK1" localSheetId="2">'Anexo IV'!$A$4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" i="5"/>
  <c r="B7"/>
  <c r="B6"/>
  <c r="B8" s="1"/>
  <c r="B9" s="1"/>
  <c r="D33" i="4"/>
  <c r="F31"/>
  <c r="F26"/>
  <c r="F24"/>
  <c r="F28" s="1"/>
  <c r="B16"/>
  <c r="B15"/>
  <c r="B17" s="1"/>
  <c r="B9"/>
  <c r="B8"/>
  <c r="B7"/>
  <c r="E54" i="3"/>
  <c r="C54"/>
  <c r="E53"/>
  <c r="E52"/>
  <c r="E51"/>
  <c r="C51"/>
  <c r="E50"/>
  <c r="C50"/>
  <c r="E49"/>
  <c r="E48"/>
  <c r="E55" s="1"/>
  <c r="F34" i="4" s="1"/>
  <c r="D34" s="1"/>
  <c r="C48" i="3"/>
  <c r="E42"/>
  <c r="E41"/>
  <c r="C41"/>
  <c r="C40"/>
  <c r="E40" s="1"/>
  <c r="E39"/>
  <c r="C39"/>
  <c r="C38"/>
  <c r="E38" s="1"/>
  <c r="E37"/>
  <c r="C37"/>
  <c r="E36"/>
  <c r="E35"/>
  <c r="E34"/>
  <c r="E33"/>
  <c r="C33"/>
  <c r="E32"/>
  <c r="C32"/>
  <c r="E31"/>
  <c r="C31"/>
  <c r="C25"/>
  <c r="E25" s="1"/>
  <c r="F25" s="1"/>
  <c r="F24"/>
  <c r="E24"/>
  <c r="C24"/>
  <c r="F23"/>
  <c r="E23"/>
  <c r="C22"/>
  <c r="E22" s="1"/>
  <c r="F22" s="1"/>
  <c r="F21"/>
  <c r="E21"/>
  <c r="C21"/>
  <c r="F20"/>
  <c r="E20"/>
  <c r="C20"/>
  <c r="E19"/>
  <c r="F19" s="1"/>
  <c r="C19"/>
  <c r="C18"/>
  <c r="E18" s="1"/>
  <c r="F18" s="1"/>
  <c r="F17"/>
  <c r="E17"/>
  <c r="C17"/>
  <c r="F16"/>
  <c r="E16"/>
  <c r="C16"/>
  <c r="E15"/>
  <c r="F15" s="1"/>
  <c r="C15"/>
  <c r="F14"/>
  <c r="E14"/>
  <c r="F13"/>
  <c r="E13"/>
  <c r="C13"/>
  <c r="E12"/>
  <c r="F12" s="1"/>
  <c r="C12"/>
  <c r="C11"/>
  <c r="E11" s="1"/>
  <c r="F11" s="1"/>
  <c r="F10"/>
  <c r="E10"/>
  <c r="C10"/>
  <c r="F9"/>
  <c r="E9"/>
  <c r="C9"/>
  <c r="E8"/>
  <c r="F8" s="1"/>
  <c r="C8"/>
  <c r="C7"/>
  <c r="E7" s="1"/>
  <c r="F7" s="1"/>
  <c r="F6"/>
  <c r="E6"/>
  <c r="E5"/>
  <c r="F5" s="1"/>
  <c r="F4"/>
  <c r="E4"/>
  <c r="C323" i="2"/>
  <c r="C325" s="1"/>
  <c r="C291"/>
  <c r="C297" s="1"/>
  <c r="C282"/>
  <c r="D282" s="1"/>
  <c r="C281"/>
  <c r="D281" s="1"/>
  <c r="C266"/>
  <c r="D266" s="1"/>
  <c r="C256"/>
  <c r="C284" s="1"/>
  <c r="D284" s="1"/>
  <c r="C240"/>
  <c r="C336" s="1"/>
  <c r="C224"/>
  <c r="C217"/>
  <c r="C334" s="1"/>
  <c r="C209"/>
  <c r="C152"/>
  <c r="C154" s="1"/>
  <c r="C120"/>
  <c r="C126" s="1"/>
  <c r="C111"/>
  <c r="C110"/>
  <c r="D110" s="1"/>
  <c r="C95"/>
  <c r="D95" s="1"/>
  <c r="C85"/>
  <c r="C113" s="1"/>
  <c r="D113" s="1"/>
  <c r="C69"/>
  <c r="C165" s="1"/>
  <c r="C46"/>
  <c r="D293" s="1"/>
  <c r="C38"/>
  <c r="C325" i="1"/>
  <c r="C323"/>
  <c r="C291"/>
  <c r="C297" s="1"/>
  <c r="C282"/>
  <c r="C281"/>
  <c r="C266"/>
  <c r="C256"/>
  <c r="C304" s="1"/>
  <c r="C240"/>
  <c r="C336" s="1"/>
  <c r="C224"/>
  <c r="C217"/>
  <c r="D291" s="1"/>
  <c r="C209"/>
  <c r="C152"/>
  <c r="C154" s="1"/>
  <c r="C120"/>
  <c r="C126" s="1"/>
  <c r="C111"/>
  <c r="C110"/>
  <c r="C95"/>
  <c r="C85"/>
  <c r="C133" s="1"/>
  <c r="C69"/>
  <c r="C165" s="1"/>
  <c r="C53"/>
  <c r="C38"/>
  <c r="C46" s="1"/>
  <c r="C298" l="1"/>
  <c r="D298" s="1"/>
  <c r="C299"/>
  <c r="D297"/>
  <c r="D297" i="2"/>
  <c r="C298"/>
  <c r="D298" s="1"/>
  <c r="D295" i="1"/>
  <c r="D124"/>
  <c r="D120"/>
  <c r="D114"/>
  <c r="D111"/>
  <c r="D109"/>
  <c r="D94"/>
  <c r="D81"/>
  <c r="C52"/>
  <c r="C59" s="1"/>
  <c r="C164" s="1"/>
  <c r="D296"/>
  <c r="D292"/>
  <c r="D125"/>
  <c r="D121"/>
  <c r="D112"/>
  <c r="D82"/>
  <c r="D78"/>
  <c r="D293"/>
  <c r="D122"/>
  <c r="D92"/>
  <c r="D83"/>
  <c r="D79"/>
  <c r="D294"/>
  <c r="C163"/>
  <c r="D123"/>
  <c r="D102"/>
  <c r="D93"/>
  <c r="D84"/>
  <c r="D80"/>
  <c r="D77"/>
  <c r="D85" s="1"/>
  <c r="D133" s="1"/>
  <c r="D126" i="2"/>
  <c r="C127"/>
  <c r="D127" s="1"/>
  <c r="F35" i="4"/>
  <c r="F29"/>
  <c r="E26" i="3"/>
  <c r="F26" s="1"/>
  <c r="C127" i="1"/>
  <c r="D127" s="1"/>
  <c r="D126"/>
  <c r="C268"/>
  <c r="E43" i="3"/>
  <c r="F32" i="4" s="1"/>
  <c r="D32" s="1"/>
  <c r="C96" i="1"/>
  <c r="D96" s="1"/>
  <c r="D251"/>
  <c r="D255"/>
  <c r="D264"/>
  <c r="C267"/>
  <c r="D267" s="1"/>
  <c r="D273"/>
  <c r="C52" i="2"/>
  <c r="C59" s="1"/>
  <c r="C164" s="1"/>
  <c r="D78"/>
  <c r="D82"/>
  <c r="D112"/>
  <c r="C115"/>
  <c r="C136" s="1"/>
  <c r="D121"/>
  <c r="D125"/>
  <c r="D249"/>
  <c r="D253"/>
  <c r="D283"/>
  <c r="C286"/>
  <c r="C307" s="1"/>
  <c r="D292"/>
  <c r="D296"/>
  <c r="D95" i="1"/>
  <c r="D110"/>
  <c r="C113"/>
  <c r="D113" s="1"/>
  <c r="D250"/>
  <c r="D254"/>
  <c r="D263"/>
  <c r="D266"/>
  <c r="D281"/>
  <c r="C284"/>
  <c r="D284" s="1"/>
  <c r="C334"/>
  <c r="D77" i="2"/>
  <c r="D81"/>
  <c r="D94"/>
  <c r="C103"/>
  <c r="D109"/>
  <c r="D111"/>
  <c r="D114"/>
  <c r="D120"/>
  <c r="D124"/>
  <c r="C133"/>
  <c r="C223"/>
  <c r="C230" s="1"/>
  <c r="C335" s="1"/>
  <c r="D248"/>
  <c r="D252"/>
  <c r="D265"/>
  <c r="C274"/>
  <c r="D280"/>
  <c r="D285"/>
  <c r="D291"/>
  <c r="D295"/>
  <c r="C304"/>
  <c r="D249" i="1"/>
  <c r="D253"/>
  <c r="D283"/>
  <c r="D80" i="2"/>
  <c r="D84"/>
  <c r="D93"/>
  <c r="C96"/>
  <c r="D96" s="1"/>
  <c r="D102"/>
  <c r="D123"/>
  <c r="C163"/>
  <c r="D251"/>
  <c r="D255"/>
  <c r="D264"/>
  <c r="C267"/>
  <c r="D267" s="1"/>
  <c r="D273"/>
  <c r="D294"/>
  <c r="C103" i="1"/>
  <c r="C223"/>
  <c r="C230" s="1"/>
  <c r="C335" s="1"/>
  <c r="D248"/>
  <c r="D256" s="1"/>
  <c r="D304" s="1"/>
  <c r="D252"/>
  <c r="D265"/>
  <c r="C274"/>
  <c r="D280"/>
  <c r="D286" s="1"/>
  <c r="D307" s="1"/>
  <c r="D282"/>
  <c r="D285"/>
  <c r="D79" i="2"/>
  <c r="D83"/>
  <c r="D92"/>
  <c r="D122"/>
  <c r="D250"/>
  <c r="D254"/>
  <c r="D263"/>
  <c r="D274" i="1" l="1"/>
  <c r="D275" s="1"/>
  <c r="D306" s="1"/>
  <c r="C275"/>
  <c r="C306" s="1"/>
  <c r="C268" i="2"/>
  <c r="C286" i="1"/>
  <c r="C307" s="1"/>
  <c r="C308"/>
  <c r="D299"/>
  <c r="D308" s="1"/>
  <c r="C275" i="2"/>
  <c r="C306" s="1"/>
  <c r="D274"/>
  <c r="C104"/>
  <c r="C135" s="1"/>
  <c r="D103"/>
  <c r="C97"/>
  <c r="D104"/>
  <c r="D135" s="1"/>
  <c r="D286"/>
  <c r="D307" s="1"/>
  <c r="D256"/>
  <c r="D304" s="1"/>
  <c r="C128"/>
  <c r="D115" i="1"/>
  <c r="D136" s="1"/>
  <c r="C97"/>
  <c r="C305"/>
  <c r="C310" s="1"/>
  <c r="D268"/>
  <c r="D305" s="1"/>
  <c r="D310" s="1"/>
  <c r="C337" s="1"/>
  <c r="C338" s="1"/>
  <c r="D103"/>
  <c r="D104" s="1"/>
  <c r="D135" s="1"/>
  <c r="C104"/>
  <c r="C135" s="1"/>
  <c r="D275" i="2"/>
  <c r="D306" s="1"/>
  <c r="D115"/>
  <c r="D136" s="1"/>
  <c r="D85"/>
  <c r="D133" s="1"/>
  <c r="C128" i="1"/>
  <c r="C115"/>
  <c r="C136" s="1"/>
  <c r="C299" i="2"/>
  <c r="D322" i="1" l="1"/>
  <c r="D315"/>
  <c r="D318"/>
  <c r="D324"/>
  <c r="D323" s="1"/>
  <c r="C134"/>
  <c r="D97"/>
  <c r="D134" s="1"/>
  <c r="D299" i="2"/>
  <c r="D308" s="1"/>
  <c r="C308"/>
  <c r="D128"/>
  <c r="D137" s="1"/>
  <c r="D139" s="1"/>
  <c r="C166" s="1"/>
  <c r="C167" s="1"/>
  <c r="C137"/>
  <c r="C137" i="1"/>
  <c r="D128"/>
  <c r="D137" s="1"/>
  <c r="C134" i="2"/>
  <c r="C139" s="1"/>
  <c r="D97"/>
  <c r="D134" s="1"/>
  <c r="C305"/>
  <c r="D268"/>
  <c r="D305" s="1"/>
  <c r="D310" s="1"/>
  <c r="C337" s="1"/>
  <c r="C338" s="1"/>
  <c r="D144" l="1"/>
  <c r="D315"/>
  <c r="D139" i="1"/>
  <c r="C166" s="1"/>
  <c r="C167" s="1"/>
  <c r="C310" i="2"/>
  <c r="C139" i="1"/>
  <c r="D325"/>
  <c r="C339" s="1"/>
  <c r="C340" s="1"/>
  <c r="D319"/>
  <c r="D317"/>
  <c r="D144" l="1"/>
  <c r="D146"/>
  <c r="D147"/>
  <c r="D153"/>
  <c r="D151" s="1"/>
  <c r="D148"/>
  <c r="D324" i="2"/>
  <c r="D153"/>
  <c r="D151" s="1"/>
  <c r="D147"/>
  <c r="D317"/>
  <c r="D319"/>
  <c r="D146"/>
  <c r="D148"/>
  <c r="D152" l="1"/>
  <c r="D154" s="1"/>
  <c r="C168" s="1"/>
  <c r="C169" s="1"/>
  <c r="D159" s="1"/>
  <c r="D322"/>
  <c r="D318"/>
  <c r="D323"/>
  <c r="D325" s="1"/>
  <c r="C339" s="1"/>
  <c r="C340" s="1"/>
  <c r="D152" i="1"/>
  <c r="D154" s="1"/>
  <c r="C168" s="1"/>
  <c r="C169" s="1"/>
  <c r="C7" i="4" l="1"/>
  <c r="D7" s="1"/>
  <c r="D159" i="1"/>
  <c r="C8" i="4"/>
  <c r="C16"/>
  <c r="C15"/>
  <c r="D15" s="1"/>
  <c r="D9" l="1"/>
  <c r="B24"/>
  <c r="D8"/>
  <c r="C9"/>
  <c r="D16"/>
  <c r="C17"/>
  <c r="B27" l="1"/>
  <c r="B25"/>
  <c r="D17"/>
</calcChain>
</file>

<file path=xl/sharedStrings.xml><?xml version="1.0" encoding="utf-8"?>
<sst xmlns="http://schemas.openxmlformats.org/spreadsheetml/2006/main" count="1145" uniqueCount="320">
  <si>
    <t>PLANILHA 1 DO ANEXO IV Processo 375/2021 - CUSTO MÃO DE OBRA PARA SERVENTE</t>
  </si>
  <si>
    <t>Informações Gerais</t>
  </si>
  <si>
    <t>Razão Social:</t>
  </si>
  <si>
    <t>CNPJ:</t>
  </si>
  <si>
    <t xml:space="preserve">Nº do Processo: </t>
  </si>
  <si>
    <t>Licitação nº</t>
  </si>
  <si>
    <t>Dia __/__/__ às __ : __ horas</t>
  </si>
  <si>
    <t>Endereço Comercial:</t>
  </si>
  <si>
    <t>Bairro:</t>
  </si>
  <si>
    <t>Cidade:</t>
  </si>
  <si>
    <t>Estado:</t>
  </si>
  <si>
    <t>CEP:</t>
  </si>
  <si>
    <t>Telefone:</t>
  </si>
  <si>
    <t>Celular</t>
  </si>
  <si>
    <t>Email:</t>
  </si>
  <si>
    <t>Dados Bancários (para emissão de nota de empenho):</t>
  </si>
  <si>
    <t>Representante Legal Qualificado:</t>
  </si>
  <si>
    <t>Identidade:</t>
  </si>
  <si>
    <t>Órgão Expedidor:</t>
  </si>
  <si>
    <t>CPF:</t>
  </si>
  <si>
    <t>Nacionalidade:</t>
  </si>
  <si>
    <t>Qualificação profissional na empresa:</t>
  </si>
  <si>
    <t>Estado Civil: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</si>
  <si>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</si>
  <si>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</si>
  <si>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</si>
  <si>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</si>
  <si>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</si>
  <si>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Itaborai/RJ</t>
  </si>
  <si>
    <t>C</t>
  </si>
  <si>
    <t>Acordo, Convenção ou Sentença em Dissídio Coletivo TEM</t>
  </si>
  <si>
    <t>D</t>
  </si>
  <si>
    <t>Nº. De dias da execução contratual</t>
  </si>
  <si>
    <t>12 meses</t>
  </si>
  <si>
    <t>Tipo de Serviço</t>
  </si>
  <si>
    <t>Unidade de Medida</t>
  </si>
  <si>
    <t xml:space="preserve">Quantidade total a contratar </t>
  </si>
  <si>
    <t>Limpeza e Conservação</t>
  </si>
  <si>
    <t>Área em m2</t>
  </si>
  <si>
    <t>Anexo I – A: Mão de Obra Vinculada à Execução Contratual</t>
  </si>
  <si>
    <t>Dados Complementares para Composição dos Custos referente à Mão de Obra</t>
  </si>
  <si>
    <t>Tipo de serviço (mesmo serviço com características distintas)</t>
  </si>
  <si>
    <t>Salário normativo da categoria profissional</t>
  </si>
  <si>
    <t>Categoria profissional (vinculada à execução contratual)</t>
  </si>
  <si>
    <t>SINDICATO ASSEIO LIMP CONSERVAÇÃO</t>
  </si>
  <si>
    <t>Data base da categoria (dia/mês)</t>
  </si>
  <si>
    <t>Módulo 1 – Composição da Remuneração</t>
  </si>
  <si>
    <t>I – Composição da Remuneração</t>
  </si>
  <si>
    <t>Valor (R$)</t>
  </si>
  <si>
    <t>Salário Base para joranada de 44 (h) semanais</t>
  </si>
  <si>
    <t>Adicional de Periculosidade</t>
  </si>
  <si>
    <t>Adicional de Insalubridade</t>
  </si>
  <si>
    <t>Adicional Noturno</t>
  </si>
  <si>
    <t>E</t>
  </si>
  <si>
    <t>Hora Noturna Adicional</t>
  </si>
  <si>
    <t>F</t>
  </si>
  <si>
    <t>Adicional de Hora Extra</t>
  </si>
  <si>
    <t>G</t>
  </si>
  <si>
    <t>Intervalo Intra jornada</t>
  </si>
  <si>
    <t>H</t>
  </si>
  <si>
    <t>Outros (especificar)</t>
  </si>
  <si>
    <t>Total da Remuneração</t>
  </si>
  <si>
    <t>Nota 1)  "A"= Valor do Piso da Categoria (clausula 3 §1° da CCT 2020/2021):</t>
  </si>
  <si>
    <t>Módulo 2 – Benefícios Mensais e Diários</t>
  </si>
  <si>
    <t>II – Benefícios Mensais e Diários</t>
  </si>
  <si>
    <t>Transporte</t>
  </si>
  <si>
    <t>Auxílio alimentação (vales, cestas básicas, etc.)</t>
  </si>
  <si>
    <t xml:space="preserve">Assistência médica, odontológica e familiar </t>
  </si>
  <si>
    <t>Auxílio creche</t>
  </si>
  <si>
    <t>Seguros de vida, invalidez e funeral</t>
  </si>
  <si>
    <t xml:space="preserve">Contribuição Assistencial Patronal  </t>
  </si>
  <si>
    <t>Outros (especificar) benefício social familiar cláusula 29 CCT 2021</t>
  </si>
  <si>
    <t>Total de Benefícios Mensais e Diários</t>
  </si>
  <si>
    <t>Nota (1): O valor informado deverá ser o custo real do insumo (descontado o valor eventualmente pago pelo emprego).</t>
  </si>
  <si>
    <t xml:space="preserve">Nota (2) : "A" Cálculo do valor: [(2xVTx22) – (6%xSB)] preço da passagem R$ 3,75; "B" Valor do auxílio-alimentação (clausula 19 da CCT 2020/2021) R$ 18,00 - 10%, sendo que 10% refere-se ao desconto do empregado para alimentação </t>
  </si>
  <si>
    <t>Módulo 3 – Insumos Diversos</t>
  </si>
  <si>
    <t>III – Insumos Diversos mão de obra</t>
  </si>
  <si>
    <t>Uniformes E EPI</t>
  </si>
  <si>
    <t>Materiais</t>
  </si>
  <si>
    <t>Equipamentos</t>
  </si>
  <si>
    <t>Total</t>
  </si>
  <si>
    <t>Nota (1): Valores mensais por empregado.</t>
  </si>
  <si>
    <t>Módulo 4 – Encargos Sociais e Trabalhistas, conforme legislação vigente</t>
  </si>
  <si>
    <t>Submódulo 4.1: Encargos Previdenciários e FGTS:</t>
  </si>
  <si>
    <t>4.1 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</si>
  <si>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</si>
  <si>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</si>
  <si>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</si>
  <si>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</si>
  <si>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</si>
  <si>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</si>
  <si>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</si>
  <si>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Seguros Acidente do Trabalho ( SAT = RAT X FAP)</t>
  </si>
  <si>
    <t>SEBRAE</t>
  </si>
  <si>
    <t>Nota (1) – O percentual do INSS deve 0 (zero) no caso de empresa optante pela desoneração da folha de pagamento.</t>
  </si>
  <si>
    <t xml:space="preserve">Nota (3) - Os percentuais dos encargos previdenciários e FGTS são aqueles estabelecidos pela legislação vigente. </t>
  </si>
  <si>
    <t>Nota (2) – Deverá ser encaminhada a cópia da SEFIP/GFIP para fins de comprovação do valor do item G.</t>
  </si>
  <si>
    <t>Nota (4) - Percentuais incidentes sobre a remuneração.</t>
  </si>
  <si>
    <t>Submódulo 4.2: 13º Salário / Férias e Terço Constitucional</t>
  </si>
  <si>
    <t>4.2 13º Salário</t>
  </si>
  <si>
    <t>13º Salário</t>
  </si>
  <si>
    <t>Férias</t>
  </si>
  <si>
    <t>Terço Constitucional</t>
  </si>
  <si>
    <t>Subtotal</t>
  </si>
  <si>
    <t>Incidência do Submódulo 4.1. sobre o 13º salário</t>
  </si>
  <si>
    <t>Submódulo 4.3: Afastamento Maternidade</t>
  </si>
  <si>
    <t>4.3 13º Afastamento Maternidade</t>
  </si>
  <si>
    <t>Afastamento Maternidade</t>
  </si>
  <si>
    <t>Incidência do Submódulo 4.1. sobre o afastamento maternidade</t>
  </si>
  <si>
    <t>Submódulo 4.4: Provisão para Rescisão</t>
  </si>
  <si>
    <t>4.4 Provisão para Rescisão</t>
  </si>
  <si>
    <t>Aviso Prévio Indenizado</t>
  </si>
  <si>
    <t>Incidência do FGTS sobre o aviso prévio indenizado</t>
  </si>
  <si>
    <t>Multa do FGTS sobre aviso prévio indenizado</t>
  </si>
  <si>
    <t>Aviso prévio trabalhado</t>
  </si>
  <si>
    <t>Incidência do submódulo 4.1 sobre o aviso prévio trabalhado</t>
  </si>
  <si>
    <t>Multa do FGTS do aviso prévio trabalhado</t>
  </si>
  <si>
    <t>Submódulo 4.5: Custo de Reposição do Profissional Ausente</t>
  </si>
  <si>
    <t>4.5 Composição do Custo de Reposição do Profissional Ausente</t>
  </si>
  <si>
    <t>Férias e terço constitucional</t>
  </si>
  <si>
    <t>Ausência por doença</t>
  </si>
  <si>
    <t>Licença paternidade</t>
  </si>
  <si>
    <t>Ausências legais</t>
  </si>
  <si>
    <t>Ausência por acidente do trabalho</t>
  </si>
  <si>
    <t>Incidência do submódulo 4.1 sobre o custo de reposição</t>
  </si>
  <si>
    <t>Quadro Resumo – Módulo 4: Encargos Sociais e Trabalhistas</t>
  </si>
  <si>
    <t>4. Módulo 4: Encargos Sociais e Trabalhistas</t>
  </si>
  <si>
    <t>4.1</t>
  </si>
  <si>
    <t>Encargos previdenciários, FGTS e outras contribuições</t>
  </si>
  <si>
    <t>4.2</t>
  </si>
  <si>
    <t>13º (décimo-terceiro) salário, férias e terço constitucional</t>
  </si>
  <si>
    <t>4.3</t>
  </si>
  <si>
    <t>4.4</t>
  </si>
  <si>
    <t>Custo de Rescisão</t>
  </si>
  <si>
    <t>4.5</t>
  </si>
  <si>
    <t>Custo de Reposição do Profissional Ausente</t>
  </si>
  <si>
    <t>4.6</t>
  </si>
  <si>
    <t>Módulo 5 – Custos Indiretos, Tributos e Lucro</t>
  </si>
  <si>
    <t>Custos Indiretos, Tributos e Lucro</t>
  </si>
  <si>
    <t>Custos Indiretos</t>
  </si>
  <si>
    <t xml:space="preserve">B1. Tributos Federais </t>
  </si>
  <si>
    <t>PIS</t>
  </si>
  <si>
    <t>COFINS</t>
  </si>
  <si>
    <t>CPRB</t>
  </si>
  <si>
    <t>B2. Tributos Estaduais</t>
  </si>
  <si>
    <t xml:space="preserve">B3. Tributos Municipais </t>
  </si>
  <si>
    <t>ISS</t>
  </si>
  <si>
    <t>Total dos Tributos</t>
  </si>
  <si>
    <t>Lucro</t>
  </si>
  <si>
    <t>Nota (1):  No caso de empresa optante pela desoneração da folha de pagamento, a CPRB deve ser preenchida com a alíquota prevista em lei para a atividade em pauta.</t>
  </si>
  <si>
    <t xml:space="preserve">Nota (4) BASE DE CÁLCULO DOS TRIBUTOS = (Total do Módulo 1 – Composição da Remuneração + Total do Módulo 2 - Benefícios Mensais e Diários + Total do Módulo 3 – Insumos Diversos + Total do Módulo 4 - Encargos Sociais e Trabalhistas, conforme legislação vigente + Total do Módulo 5 -Custos Indiretos, Tributos e Lucro. </t>
  </si>
  <si>
    <t>A estimativa de lucro utilizada para cálculo dos valores limite derivam de estudos realizados pela Fundação Instituto de Pesquisas (FIA) e correspondem à 6,79% em cenário máximo e 3,90% no cenário de atenção.
Os percentuais de referência ulizados neste módulo 6 foram extraídos do Estudo sobre a Composição dos Custos dos Valores Limites aplicados aos Serviços de Vigilância - produzido pelo MINISTÉRIO DA ECONOMIA SEGES – Caderno Técnico – Vigilância – Distrito Federal 2019 (página 29): Custos Indiretos (CI): 6% -
Lucro antes do Imposto de Renda (L): 6,79%</t>
  </si>
  <si>
    <t>Nota (2):  Custos indiretos, tributos e lucro por empregado.</t>
  </si>
  <si>
    <t>Nota (3): O valor referente a tributos é obtido aplicando-se o percentual sobre o valor do faturamento.</t>
  </si>
  <si>
    <t>Anexo I – B: Quadro-resumo do Custo por Empregado</t>
  </si>
  <si>
    <t>Mão de Obra vinculada à execução contratual (valor por empregado)</t>
  </si>
  <si>
    <t>Módulo 3 – Insumos Diversos (Uniformes, materiais, equip. e outros)</t>
  </si>
  <si>
    <t>Módulo 4 – Encargos Sociais e Trabalhistas</t>
  </si>
  <si>
    <t>Subtotal (A + B + C + D)</t>
  </si>
  <si>
    <t>Valor Mensal por Empregado:</t>
  </si>
  <si>
    <t>PLANILHA 2 DO ANEXO IV Processo 878/2021 - CUSTO MÃO DE OBRA PARA ENCARREGADO</t>
  </si>
  <si>
    <t>RJ000830/2020</t>
  </si>
  <si>
    <t>Nº. de dias da execução contratual</t>
  </si>
  <si>
    <t>180 dias</t>
  </si>
  <si>
    <t>Trabalhadores nas Empresas de Asseio e Conservação</t>
  </si>
  <si>
    <t>III – Insumos Diversos</t>
  </si>
  <si>
    <t>Uniformes</t>
  </si>
  <si>
    <t>Submódulo 4.2: 13º Salário</t>
  </si>
  <si>
    <t>13º (décimo-terceiro) salário</t>
  </si>
  <si>
    <t>PLANILHA 1 DO ANEXO IV Processo 878/2021 - CUSTO MÃO DE OBRA PARA SERVENTE</t>
  </si>
  <si>
    <t>PLANILHA 2 DO ANEXO IV Processo 375/2021 - CUSTO MÃO DE OBRA PARA ENCARREGADO</t>
  </si>
  <si>
    <t xml:space="preserve">Acordo, Convenção ou Sentença em Dissídio Coletivo </t>
  </si>
  <si>
    <t>Outros (especificar) benefício sosical familiar</t>
  </si>
  <si>
    <t>PLANILHA 3 do ANEXO IV - Processo 375/2021 - QUANTITATIVO DE MATERIAIS</t>
  </si>
  <si>
    <t>Material mínimo</t>
  </si>
  <si>
    <t>Descrição</t>
  </si>
  <si>
    <t xml:space="preserve">Quantidade  </t>
  </si>
  <si>
    <t>Valor Unitário Mensal</t>
  </si>
  <si>
    <t>Valor Total Mensal</t>
  </si>
  <si>
    <t>Valor Total Anual</t>
  </si>
  <si>
    <t>1.      Fardo c/ 100 sacos de lixo tamanho 200 litros;</t>
  </si>
  <si>
    <t>02 fardos por unidade por mês</t>
  </si>
  <si>
    <t>2.      Fardo c/ 100 sacos de lixo tamanho 100 litros;</t>
  </si>
  <si>
    <t>3.      Fardo c/ 100 sacos de lixo tamanho 40 litros;</t>
  </si>
  <si>
    <t xml:space="preserve">4.      Pano de chão unidade; </t>
  </si>
  <si>
    <t>10 Panos por unidades por mês</t>
  </si>
  <si>
    <t>5.      Álcool 92,8º para limpeza 1 litro;</t>
  </si>
  <si>
    <t>12 litros por unidade por mês</t>
  </si>
  <si>
    <t>6.      Detergente líquido 500ml unidade;</t>
  </si>
  <si>
    <t>04 frascos por unidade por mês</t>
  </si>
  <si>
    <t>7.      Desinfetante 5 litros unidade;</t>
  </si>
  <si>
    <t>04 galões por unidade por mês</t>
  </si>
  <si>
    <t>8.      Limpadores multiuso 500ml unidade;</t>
  </si>
  <si>
    <t>08 frascos por unidade por mês</t>
  </si>
  <si>
    <t>9.      Lã de aço saco  C/8</t>
  </si>
  <si>
    <t>04 embalagens por unidade por mês</t>
  </si>
  <si>
    <t>10.  Esponjas dupla face unidade;</t>
  </si>
  <si>
    <t>06 esponjas por unidade por mês</t>
  </si>
  <si>
    <t>11.  Luvas nitrílica par, tamanho G</t>
  </si>
  <si>
    <t>01 par de luvas por servente por mês</t>
  </si>
  <si>
    <t>12.  Papel higiênico fardo 48 unidades;</t>
  </si>
  <si>
    <t>05 fardos c/48 por unidade por mês</t>
  </si>
  <si>
    <t xml:space="preserve">13. Sabão em pacote com 5 barras de 200gramas; </t>
  </si>
  <si>
    <t>01 embalagem c/5 por unidade por mês</t>
  </si>
  <si>
    <t>14. Sabão em pó de 1kg;</t>
  </si>
  <si>
    <t>03 quilos por unidade por mês</t>
  </si>
  <si>
    <t>15. Água Sanitária 5 litros;</t>
  </si>
  <si>
    <t>06 galões por unidade por mês</t>
  </si>
  <si>
    <t>16.  Álcool 70 gel 5 litros para abastecer os suportes de álcool gel dos banheiros, corredores e pias;</t>
  </si>
  <si>
    <t>17.  Papel Toalha interfolha 1000fls para abastecer os suportes de sabonete Líquido dos Banheiros;</t>
  </si>
  <si>
    <t>05 por unidade por mês</t>
  </si>
  <si>
    <t>18. Sabonete Líquido 5 litros para abastecer os suportes de Sabonete Líquido dos banheiros e pias;</t>
  </si>
  <si>
    <t>08 galões por unidade por mês</t>
  </si>
  <si>
    <t>19. Inseticida 450ml</t>
  </si>
  <si>
    <t>20. Limpa Vidros 500ml</t>
  </si>
  <si>
    <t>02 frascos por unidade por mês</t>
  </si>
  <si>
    <t>21. Lustra Móveis 200ml</t>
  </si>
  <si>
    <t>22. Rolo de pano de tecido lavável e reutilizável com 300m</t>
  </si>
  <si>
    <t>02 rolos por unidade por mês</t>
  </si>
  <si>
    <t>VALOR TOTAL MATERIAIS</t>
  </si>
  <si>
    <t>PLANILHA 4 DO ANEXO IV - Processo 375/2021- QUANTITATIVO DE EQUIPAMENTOS</t>
  </si>
  <si>
    <t>EQUIPAMENTO</t>
  </si>
  <si>
    <t>Quantidade</t>
  </si>
  <si>
    <t>Valor Unitário</t>
  </si>
  <si>
    <t xml:space="preserve">Balde plástico 12L </t>
  </si>
  <si>
    <t>3 por escola por ano</t>
  </si>
  <si>
    <t>Desentupidor de pia com cabo de madeira</t>
  </si>
  <si>
    <t>2 por escola por ano</t>
  </si>
  <si>
    <t>Desentupidor de vaso sanitário cabo madeira</t>
  </si>
  <si>
    <t>4 por escola por ano</t>
  </si>
  <si>
    <t>Suporte para sabonete líquido 800ml</t>
  </si>
  <si>
    <t xml:space="preserve">02 (dois) SUPORTES de sabonete líquido por banheiro e 02 (dois) SUPORTES de sabonete líquido por pia fora do banheiro; </t>
  </si>
  <si>
    <t>Suporte  para papel toalha 500 fls</t>
  </si>
  <si>
    <t>02 (dois) SUPORTES de papel toalha interfolhas por banheiro e 02 (dois) SUPORTES de papel toalha interfolhas por pia externa</t>
  </si>
  <si>
    <t>Suporte  para álcool em gel 800ml</t>
  </si>
  <si>
    <t>01 (um) SUPORTE de álcool gel por banheiro e 01 (um) SUPORTE de álcool gel por corredor</t>
  </si>
  <si>
    <t>Pá lixo de metal</t>
  </si>
  <si>
    <t>Placa sinalizadora de piso molhado amarela</t>
  </si>
  <si>
    <t>Rodo de madeira 60cm</t>
  </si>
  <si>
    <t>Vassoura de cerdas macias sintética</t>
  </si>
  <si>
    <t>Vassoura de piaçava de madeira 40cm</t>
  </si>
  <si>
    <t>Contentor plástico 240 litros com roda</t>
  </si>
  <si>
    <t>1 por escola por ano</t>
  </si>
  <si>
    <t>VALOR TOTAL MENSAL EQUIPAMENTOS</t>
  </si>
  <si>
    <t>PLANILHA 5 DO ANEXO IV - Processo 375/2021- UNIFORME E EPI</t>
  </si>
  <si>
    <t xml:space="preserve">Quantidade </t>
  </si>
  <si>
    <t>Valor unitário</t>
  </si>
  <si>
    <t xml:space="preserve">Calça comprida na cor LARANJA, em Brim, com presilhas para cinto (modelo tradicional), </t>
  </si>
  <si>
    <r>
      <rPr>
        <sz val="11"/>
        <color rgb="FF000000"/>
        <rFont val="Calibri"/>
        <family val="2"/>
        <charset val="1"/>
      </rPr>
      <t>04 (quatro) conjuntos de uniformes padronizados contendo Camisa</t>
    </r>
    <r>
      <rPr>
        <b/>
        <sz val="11"/>
        <color rgb="FF000000"/>
        <rFont val="Calibri"/>
        <family val="2"/>
        <charset val="1"/>
      </rPr>
      <t xml:space="preserve"> (ano)</t>
    </r>
  </si>
  <si>
    <t>Camiseta de malha BRANCA meia manga em algodão Logo da Empresa e nas costas escrito “À SERVIÇO DA PREFEITURA”</t>
  </si>
  <si>
    <r>
      <rPr>
        <sz val="11"/>
        <color rgb="FF000000"/>
        <rFont val="Calibri"/>
        <charset val="1"/>
      </rPr>
      <t>02 (dois) conjuntos de uniformes padronizados contendo Calça (</t>
    </r>
    <r>
      <rPr>
        <b/>
        <u/>
        <sz val="11"/>
        <color rgb="FF000000"/>
        <rFont val="Calibri"/>
        <charset val="1"/>
      </rPr>
      <t>ano)</t>
    </r>
  </si>
  <si>
    <t>BOTA SEGURANÇA, MATERIAL PVC - CLORETO DE POLIVINILA, MATERIAL SOLA BORRACHA ANTIDERRAPANTE, COR BRANCA, TIPO Cano MÉDIO, TIPO USO SERVIÇOS GERAIS</t>
  </si>
  <si>
    <r>
      <rPr>
        <sz val="11"/>
        <color rgb="FF000000"/>
        <rFont val="Calibri"/>
        <charset val="1"/>
      </rPr>
      <t>02 (dois) pares de Bota por (</t>
    </r>
    <r>
      <rPr>
        <b/>
        <u/>
        <sz val="11"/>
        <color rgb="FF000000"/>
        <rFont val="Calibri"/>
        <charset val="1"/>
      </rPr>
      <t>ano)</t>
    </r>
    <r>
      <rPr>
        <sz val="11"/>
        <color rgb="FF000000"/>
        <rFont val="Calibri"/>
        <charset val="1"/>
      </rPr>
      <t xml:space="preserve"> </t>
    </r>
  </si>
  <si>
    <t>MÁSCARA DESCARTÁVEL USO GERAL, NOME MASCARA DESCARTAVEL USO GERAL</t>
  </si>
  <si>
    <t>02 (duas) máscaras descartáveis por dia de trabalho para cada Servente e Encarregado ano  (221 dias úteis)</t>
  </si>
  <si>
    <t>ÁLCOOL ETÍLICO, TIPO HIDRATADO EM GEL, APLICAÇÃO LIMPEZA EM GERAL, TEOR ALCOÓLICO 70, 500ml</t>
  </si>
  <si>
    <r>
      <rPr>
        <sz val="11"/>
        <color rgb="FF000000"/>
        <rFont val="Calibri"/>
        <charset val="1"/>
      </rPr>
      <t xml:space="preserve">02 (dois) frascos para cada Servente e Encarregado por </t>
    </r>
    <r>
      <rPr>
        <b/>
        <u/>
        <sz val="11"/>
        <color rgb="FF000000"/>
        <rFont val="Calibri"/>
        <charset val="1"/>
      </rPr>
      <t>mês</t>
    </r>
    <r>
      <rPr>
        <b/>
        <sz val="11"/>
        <color rgb="FF000000"/>
        <rFont val="Calibri"/>
        <charset val="1"/>
      </rPr>
      <t xml:space="preserve"> </t>
    </r>
  </si>
  <si>
    <t>Crachá em PVC laminado para identificação, em preto e branco, com alta resistência e flexibilidade, impresso dos dois lados, com presilha ou cordinha</t>
  </si>
  <si>
    <t>01 crachá por ano por servente e Encarregado</t>
  </si>
  <si>
    <t>luva para limpeza em borracha de látex natural, com revestimento interno, reforçada, com superfície externa antiderrapante. Deverá estar em conformidade com as normas da ABNT NBR 13.393 (EPI). TAMANHO G</t>
  </si>
  <si>
    <r>
      <rPr>
        <sz val="11"/>
        <color rgb="FF000000"/>
        <rFont val="Calibri"/>
        <charset val="1"/>
      </rPr>
      <t xml:space="preserve">01 par de luvas por servente por </t>
    </r>
    <r>
      <rPr>
        <b/>
        <u/>
        <sz val="11"/>
        <color rgb="FF000000"/>
        <rFont val="Calibri"/>
        <charset val="1"/>
      </rPr>
      <t>mês</t>
    </r>
  </si>
  <si>
    <t>VALOR TOTAL UNIFORME E EPI</t>
  </si>
  <si>
    <r>
      <rPr>
        <b/>
        <sz val="20"/>
        <color rgb="FF000000"/>
        <rFont val="Calibri"/>
        <charset val="1"/>
      </rPr>
      <t>PLANILHA 6 DO ANEXO IV -</t>
    </r>
    <r>
      <rPr>
        <b/>
        <sz val="14"/>
        <color rgb="FF000000"/>
        <rFont val="Calibri"/>
        <charset val="1"/>
      </rPr>
      <t xml:space="preserve"> Processo 375/2021- PREÇO MENSAL UNITÁRIO POR M²  (metro quadrado)</t>
    </r>
  </si>
  <si>
    <t xml:space="preserve"> n</t>
  </si>
  <si>
    <t>MÃO DE OBRA</t>
  </si>
  <si>
    <t>[1]</t>
  </si>
  <si>
    <t>[2]</t>
  </si>
  <si>
    <t>[3]</t>
  </si>
  <si>
    <t>PRODUTIVIDADE</t>
  </si>
  <si>
    <t>SALÁRIO</t>
  </si>
  <si>
    <t>% Interno x % Externo</t>
  </si>
  <si>
    <t>(1/M²)</t>
  </si>
  <si>
    <t>Anexo I ETP</t>
  </si>
  <si>
    <t>(%)</t>
  </si>
  <si>
    <t>SERVENTE AREA INTERNA 800m2</t>
  </si>
  <si>
    <t>SERVENTE AREA EXTERNA 1200M2</t>
  </si>
  <si>
    <t>TOTAL</t>
  </si>
  <si>
    <r>
      <rPr>
        <sz val="12"/>
        <color rgb="FF000000"/>
        <rFont val="Calibri"/>
        <charset val="1"/>
      </rPr>
      <t xml:space="preserve">ENCARREGADO ÁREA INTERNA E EXTERNA - </t>
    </r>
    <r>
      <rPr>
        <b/>
        <sz val="12"/>
        <color rgb="FF000000"/>
        <rFont val="Calibri"/>
        <charset val="1"/>
      </rPr>
      <t>produtividade x salário</t>
    </r>
  </si>
  <si>
    <t>ENCARREGADO AREA INTERNA 800m2</t>
  </si>
  <si>
    <t>ENCARREGADO AREA EXTERNA 1200M2</t>
  </si>
  <si>
    <r>
      <rPr>
        <b/>
        <sz val="20"/>
        <color rgb="FF000000"/>
        <rFont val="Calibri"/>
        <charset val="1"/>
      </rPr>
      <t xml:space="preserve">PLANILHA 7 DO ANEXO IV </t>
    </r>
    <r>
      <rPr>
        <b/>
        <sz val="14"/>
        <color rgb="FF000000"/>
        <rFont val="Calibri"/>
        <charset val="1"/>
      </rPr>
      <t>- Processo 375/2021- PREÇO: SERVIÇOS/MATERIAIS/EQUIPAMENTOS/ UNIFORME/EPI</t>
    </r>
  </si>
  <si>
    <t>Planilha de cálculo da produtividade por m2</t>
  </si>
  <si>
    <t>ÍTEM</t>
  </si>
  <si>
    <t>PREÇO MENSAL UNITÁRIO (R$/ M²)</t>
  </si>
  <si>
    <t>ÁREA (M2)</t>
  </si>
  <si>
    <t>Quantidade de Funcionários apurada [1]</t>
  </si>
  <si>
    <t>Salário [2]</t>
  </si>
  <si>
    <t>Custo MENSAL (R$) [1]*[2]</t>
  </si>
  <si>
    <t>Servente I - Área Interna</t>
  </si>
  <si>
    <t>Servente II - Área Externa</t>
  </si>
  <si>
    <t>Encarregado I - Área Interna</t>
  </si>
  <si>
    <t>Encarregado II - Área Externa</t>
  </si>
  <si>
    <t>Subtotal mensal mão de obra</t>
  </si>
  <si>
    <t>Total Anual Mão de Obra</t>
  </si>
  <si>
    <t>DEMAIS CUSTOS</t>
  </si>
  <si>
    <t>CUSTO MENSAL</t>
  </si>
  <si>
    <t>CUSTO 12 meses</t>
  </si>
  <si>
    <t>MATERIAIS</t>
  </si>
  <si>
    <t>EQUIPAMENTOS</t>
  </si>
  <si>
    <t>UNIFORME E EPI</t>
  </si>
  <si>
    <t>TOTAL 180 dias [1]*[2] + [3] + [4] (R$)</t>
  </si>
  <si>
    <r>
      <rPr>
        <b/>
        <sz val="20"/>
        <color rgb="FF000000"/>
        <rFont val="Arial"/>
        <charset val="1"/>
      </rPr>
      <t xml:space="preserve">PLANILHA 8 do ANEXO IV </t>
    </r>
    <r>
      <rPr>
        <b/>
        <sz val="14"/>
        <color rgb="FF000000"/>
        <rFont val="Arial"/>
        <charset val="1"/>
      </rPr>
      <t xml:space="preserve">Processo 375/2021 - QUADRO DE RESUMO DA CONTRATAÇÃO - PROPOSTA </t>
    </r>
  </si>
  <si>
    <t>Item</t>
  </si>
  <si>
    <t>Descrição / Especificação</t>
  </si>
  <si>
    <t>Unidade</t>
  </si>
  <si>
    <t>Qtd mensal</t>
  </si>
  <si>
    <t>Valor mensal</t>
  </si>
  <si>
    <t xml:space="preserve">Valor global </t>
  </si>
  <si>
    <t>CONTRATAÇÃO DE EMPRESA ESPECIALIZADA NA PRESTAÇÃO DE SERVIÇOS DE CONSERVAÇÃO E LIMPEZA COM FORNECIMENTO DE INSUMOS: MATERIAIS E EQUIPAMENTOS</t>
  </si>
  <si>
    <t>Unid.</t>
  </si>
  <si>
    <t>R$</t>
  </si>
  <si>
    <t>Memória de cálculo término 878/21 substituição pelo 375/21</t>
  </si>
  <si>
    <t>Valor Global 375</t>
  </si>
  <si>
    <t>valor mensal 375</t>
  </si>
  <si>
    <t>Valor Reservado 878</t>
  </si>
  <si>
    <t>Valor mensal 878</t>
  </si>
  <si>
    <t>Valor 375 01/08 a 16/11</t>
  </si>
  <si>
    <t>Valor 878 01/08 a 16/11</t>
  </si>
  <si>
    <t xml:space="preserve">Direfença a suplementar </t>
  </si>
  <si>
    <t>Valor a Reservar</t>
  </si>
</sst>
</file>

<file path=xl/styles.xml><?xml version="1.0" encoding="utf-8"?>
<styleSheet xmlns="http://schemas.openxmlformats.org/spreadsheetml/2006/main">
  <numFmts count="6">
    <numFmt numFmtId="164" formatCode="d/m/yyyy"/>
    <numFmt numFmtId="165" formatCode="_-&quot;R$ &quot;* #,##0.00_-;&quot;-R$ &quot;* #,##0.00_-;_-&quot;R$ &quot;* \-??_-;_-@"/>
    <numFmt numFmtId="166" formatCode="_-* #,##0_-;\-* #,##0_-;_-* \-??_-;_-@"/>
    <numFmt numFmtId="167" formatCode="_-* #,##0.00_-;\-* #,##0.00_-;_-* \-??_-;_-@"/>
    <numFmt numFmtId="168" formatCode="_-[$R$-416]\ * #,##0.00_-;\-[$R$-416]\ * #,##0.00_-;_-[$R$-416]\ * \-??_-;_-@"/>
    <numFmt numFmtId="169" formatCode="_-* #,##0.00_-;\-* #,##0.00_-;_-* \-??_-;_-@_-"/>
  </numFmts>
  <fonts count="26">
    <font>
      <sz val="11"/>
      <color rgb="FF000000"/>
      <name val="Calibri"/>
      <charset val="1"/>
    </font>
    <font>
      <b/>
      <sz val="26"/>
      <color rgb="FF000000"/>
      <name val="Calibri"/>
      <charset val="1"/>
    </font>
    <font>
      <sz val="16"/>
      <color rgb="FF000000"/>
      <name val="Calibri"/>
      <charset val="1"/>
    </font>
    <font>
      <b/>
      <sz val="16"/>
      <color rgb="FF000000"/>
      <name val="Calibri"/>
      <charset val="1"/>
    </font>
    <font>
      <sz val="16"/>
      <color rgb="FFFF0000"/>
      <name val="Calibri"/>
      <charset val="1"/>
    </font>
    <font>
      <sz val="12"/>
      <color rgb="FF000000"/>
      <name val="Calibri"/>
      <charset val="1"/>
    </font>
    <font>
      <sz val="16"/>
      <color rgb="FFFFFFFF"/>
      <name val="Calibri"/>
      <charset val="1"/>
    </font>
    <font>
      <b/>
      <sz val="20"/>
      <color rgb="FF000000"/>
      <name val="Calibri"/>
      <charset val="1"/>
    </font>
    <font>
      <sz val="13"/>
      <color rgb="FF000000"/>
      <name val="Calibri"/>
      <charset val="1"/>
    </font>
    <font>
      <b/>
      <sz val="13"/>
      <color rgb="FF000000"/>
      <name val="Calibri"/>
      <charset val="1"/>
    </font>
    <font>
      <sz val="13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u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charset val="1"/>
    </font>
    <font>
      <b/>
      <sz val="20"/>
      <color rgb="FF000000"/>
      <name val="Arial"/>
      <charset val="1"/>
    </font>
    <font>
      <b/>
      <sz val="14"/>
      <color rgb="FF000000"/>
      <name val="Arial"/>
      <charset val="1"/>
    </font>
    <font>
      <b/>
      <sz val="12"/>
      <color rgb="FF000000"/>
      <name val="Times New Roman"/>
      <charset val="1"/>
    </font>
    <font>
      <sz val="12"/>
      <color rgb="FF000000"/>
      <name val="Times New Roman"/>
      <charset val="1"/>
    </font>
    <font>
      <b/>
      <sz val="11"/>
      <color rgb="FF1C1A11"/>
      <name val="Times New Roman"/>
      <charset val="1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D8D8D8"/>
      </patternFill>
    </fill>
    <fill>
      <patternFill patternType="solid">
        <fgColor rgb="FF000000"/>
        <bgColor rgb="FF1C1A11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BFBFBF"/>
      </patternFill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1A1A1A"/>
      </left>
      <right style="thin">
        <color rgb="FF1A1A1A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9" fontId="25" fillId="0" borderId="0" applyBorder="0" applyProtection="0"/>
  </cellStyleXfs>
  <cellXfs count="195">
    <xf numFmtId="0" fontId="0" fillId="0" borderId="0" xfId="0"/>
    <xf numFmtId="0" fontId="7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2" borderId="10" xfId="0" applyFont="1" applyFill="1" applyBorder="1"/>
    <xf numFmtId="0" fontId="2" fillId="0" borderId="4" xfId="0" applyFont="1" applyBorder="1" applyAlignment="1">
      <alignment horizontal="left"/>
    </xf>
    <xf numFmtId="0" fontId="3" fillId="2" borderId="4" xfId="0" applyFont="1" applyFill="1" applyBorder="1"/>
    <xf numFmtId="0" fontId="3" fillId="2" borderId="5" xfId="0" applyFont="1" applyFill="1" applyBorder="1"/>
    <xf numFmtId="0" fontId="2" fillId="2" borderId="4" xfId="0" applyFont="1" applyFill="1" applyBorder="1"/>
    <xf numFmtId="0" fontId="3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10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49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0" xfId="0" applyNumberFormat="1" applyFont="1"/>
    <xf numFmtId="10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3" fillId="0" borderId="0" xfId="0" applyFont="1"/>
    <xf numFmtId="4" fontId="2" fillId="0" borderId="0" xfId="0" applyNumberFormat="1" applyFont="1" applyAlignment="1">
      <alignment horizontal="center"/>
    </xf>
    <xf numFmtId="0" fontId="3" fillId="3" borderId="0" xfId="0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 applyAlignment="1">
      <alignment horizontal="center"/>
    </xf>
    <xf numFmtId="0" fontId="3" fillId="0" borderId="4" xfId="0" applyFont="1" applyBorder="1"/>
    <xf numFmtId="0" fontId="5" fillId="0" borderId="3" xfId="0" applyFont="1" applyBorder="1" applyAlignment="1">
      <alignment horizontal="left" vertical="center"/>
    </xf>
    <xf numFmtId="0" fontId="0" fillId="0" borderId="0" xfId="0" applyFont="1"/>
    <xf numFmtId="4" fontId="3" fillId="0" borderId="4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right"/>
    </xf>
    <xf numFmtId="4" fontId="8" fillId="0" borderId="16" xfId="0" applyNumberFormat="1" applyFont="1" applyBorder="1" applyAlignment="1">
      <alignment horizontal="right"/>
    </xf>
    <xf numFmtId="4" fontId="8" fillId="0" borderId="15" xfId="0" applyNumberFormat="1" applyFont="1" applyBorder="1" applyAlignment="1">
      <alignment horizontal="right"/>
    </xf>
    <xf numFmtId="0" fontId="0" fillId="4" borderId="12" xfId="0" applyFont="1" applyFill="1" applyBorder="1" applyAlignment="1">
      <alignment vertical="center"/>
    </xf>
    <xf numFmtId="4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11" fillId="0" borderId="1" xfId="0" applyFont="1" applyBorder="1" applyAlignment="1">
      <alignment wrapText="1"/>
    </xf>
    <xf numFmtId="0" fontId="11" fillId="0" borderId="18" xfId="0" applyFont="1" applyBorder="1"/>
    <xf numFmtId="0" fontId="11" fillId="0" borderId="11" xfId="0" applyFont="1" applyBorder="1"/>
    <xf numFmtId="0" fontId="12" fillId="0" borderId="19" xfId="0" applyFont="1" applyBorder="1"/>
    <xf numFmtId="0" fontId="0" fillId="0" borderId="11" xfId="0" applyFont="1" applyBorder="1" applyAlignment="1">
      <alignment wrapText="1"/>
    </xf>
    <xf numFmtId="0" fontId="0" fillId="0" borderId="11" xfId="0" applyFont="1" applyBorder="1"/>
    <xf numFmtId="166" fontId="0" fillId="0" borderId="1" xfId="0" applyNumberFormat="1" applyFont="1" applyBorder="1" applyAlignment="1">
      <alignment horizontal="right"/>
    </xf>
    <xf numFmtId="4" fontId="0" fillId="0" borderId="20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166" fontId="0" fillId="0" borderId="1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wrapText="1"/>
    </xf>
    <xf numFmtId="0" fontId="0" fillId="0" borderId="13" xfId="0" applyFont="1" applyBorder="1"/>
    <xf numFmtId="166" fontId="0" fillId="0" borderId="15" xfId="0" applyNumberFormat="1" applyFont="1" applyBorder="1" applyAlignment="1">
      <alignment horizontal="right"/>
    </xf>
    <xf numFmtId="0" fontId="0" fillId="4" borderId="19" xfId="0" applyFont="1" applyFill="1" applyBorder="1"/>
    <xf numFmtId="4" fontId="0" fillId="4" borderId="21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" fontId="0" fillId="0" borderId="0" xfId="0" applyNumberFormat="1" applyFont="1" applyAlignment="1">
      <alignment horizontal="right"/>
    </xf>
    <xf numFmtId="167" fontId="0" fillId="0" borderId="0" xfId="0" applyNumberFormat="1" applyFont="1"/>
    <xf numFmtId="0" fontId="11" fillId="0" borderId="11" xfId="0" applyFont="1" applyBorder="1" applyAlignment="1">
      <alignment wrapText="1"/>
    </xf>
    <xf numFmtId="0" fontId="11" fillId="0" borderId="12" xfId="0" applyFont="1" applyBorder="1"/>
    <xf numFmtId="0" fontId="12" fillId="0" borderId="12" xfId="0" applyFont="1" applyBorder="1"/>
    <xf numFmtId="0" fontId="0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166" fontId="0" fillId="0" borderId="1" xfId="0" applyNumberFormat="1" applyFont="1" applyBorder="1" applyAlignment="1">
      <alignment horizontal="right" vertical="center"/>
    </xf>
    <xf numFmtId="4" fontId="0" fillId="0" borderId="12" xfId="0" applyNumberFormat="1" applyFont="1" applyBorder="1" applyAlignment="1">
      <alignment horizontal="right"/>
    </xf>
    <xf numFmtId="0" fontId="0" fillId="0" borderId="1" xfId="0" applyFont="1" applyBorder="1" applyAlignment="1">
      <alignment vertical="center" wrapText="1"/>
    </xf>
    <xf numFmtId="0" fontId="0" fillId="0" borderId="13" xfId="0" applyFont="1" applyBorder="1" applyAlignment="1">
      <alignment horizontal="left" vertical="center" wrapText="1"/>
    </xf>
    <xf numFmtId="166" fontId="8" fillId="0" borderId="0" xfId="0" applyNumberFormat="1" applyFont="1"/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166" fontId="0" fillId="0" borderId="12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wrapText="1"/>
    </xf>
    <xf numFmtId="0" fontId="0" fillId="0" borderId="15" xfId="0" applyFont="1" applyBorder="1" applyAlignment="1">
      <alignment vertical="center" wrapText="1"/>
    </xf>
    <xf numFmtId="166" fontId="0" fillId="0" borderId="16" xfId="0" applyNumberFormat="1" applyFont="1" applyBorder="1" applyAlignment="1">
      <alignment horizontal="center"/>
    </xf>
    <xf numFmtId="0" fontId="11" fillId="4" borderId="12" xfId="0" applyFont="1" applyFill="1" applyBorder="1"/>
    <xf numFmtId="4" fontId="0" fillId="4" borderId="22" xfId="0" applyNumberFormat="1" applyFont="1" applyFill="1" applyBorder="1" applyAlignment="1">
      <alignment horizontal="right"/>
    </xf>
    <xf numFmtId="0" fontId="11" fillId="0" borderId="18" xfId="0" applyFont="1" applyBorder="1" applyAlignment="1">
      <alignment wrapText="1"/>
    </xf>
    <xf numFmtId="0" fontId="11" fillId="0" borderId="20" xfId="0" applyFont="1" applyBorder="1"/>
    <xf numFmtId="0" fontId="11" fillId="0" borderId="23" xfId="0" applyFont="1" applyBorder="1" applyAlignment="1">
      <alignment horizontal="center"/>
    </xf>
    <xf numFmtId="4" fontId="0" fillId="0" borderId="22" xfId="0" applyNumberFormat="1" applyFont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left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7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4" fontId="5" fillId="0" borderId="3" xfId="0" applyNumberFormat="1" applyFont="1" applyBorder="1"/>
    <xf numFmtId="4" fontId="5" fillId="0" borderId="24" xfId="0" applyNumberFormat="1" applyFont="1" applyBorder="1" applyAlignment="1">
      <alignment vertical="center" wrapText="1"/>
    </xf>
    <xf numFmtId="0" fontId="16" fillId="2" borderId="27" xfId="0" applyFont="1" applyFill="1" applyBorder="1"/>
    <xf numFmtId="0" fontId="16" fillId="2" borderId="3" xfId="0" applyFont="1" applyFill="1" applyBorder="1"/>
    <xf numFmtId="167" fontId="16" fillId="2" borderId="3" xfId="0" applyNumberFormat="1" applyFont="1" applyFill="1" applyBorder="1"/>
    <xf numFmtId="0" fontId="5" fillId="3" borderId="0" xfId="0" applyFont="1" applyFill="1" applyBorder="1"/>
    <xf numFmtId="0" fontId="5" fillId="0" borderId="0" xfId="0" applyFont="1" applyAlignment="1">
      <alignment horizontal="center" vertical="center"/>
    </xf>
    <xf numFmtId="0" fontId="16" fillId="0" borderId="26" xfId="0" applyFont="1" applyBorder="1"/>
    <xf numFmtId="0" fontId="16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2" fontId="5" fillId="0" borderId="3" xfId="0" applyNumberFormat="1" applyFont="1" applyBorder="1"/>
    <xf numFmtId="0" fontId="5" fillId="0" borderId="3" xfId="0" applyFont="1" applyBorder="1"/>
    <xf numFmtId="165" fontId="5" fillId="0" borderId="0" xfId="0" applyNumberFormat="1" applyFont="1"/>
    <xf numFmtId="167" fontId="5" fillId="0" borderId="0" xfId="0" applyNumberFormat="1" applyFont="1"/>
    <xf numFmtId="0" fontId="5" fillId="0" borderId="27" xfId="0" applyFont="1" applyBorder="1"/>
    <xf numFmtId="0" fontId="5" fillId="0" borderId="27" xfId="0" applyFont="1" applyBorder="1" applyAlignment="1">
      <alignment wrapText="1"/>
    </xf>
    <xf numFmtId="0" fontId="5" fillId="5" borderId="29" xfId="0" applyFont="1" applyFill="1" applyBorder="1"/>
    <xf numFmtId="0" fontId="5" fillId="5" borderId="30" xfId="0" applyFont="1" applyFill="1" applyBorder="1"/>
    <xf numFmtId="0" fontId="0" fillId="0" borderId="0" xfId="0" applyFont="1" applyAlignment="1"/>
    <xf numFmtId="0" fontId="16" fillId="0" borderId="28" xfId="0" applyFont="1" applyBorder="1" applyAlignment="1">
      <alignment horizontal="left"/>
    </xf>
    <xf numFmtId="0" fontId="11" fillId="0" borderId="31" xfId="0" applyFont="1" applyBorder="1"/>
    <xf numFmtId="0" fontId="16" fillId="0" borderId="27" xfId="0" applyFont="1" applyBorder="1" applyAlignment="1">
      <alignment horizontal="left"/>
    </xf>
    <xf numFmtId="0" fontId="11" fillId="0" borderId="33" xfId="0" applyFont="1" applyBorder="1"/>
    <xf numFmtId="0" fontId="5" fillId="0" borderId="28" xfId="0" applyFont="1" applyBorder="1" applyAlignment="1">
      <alignment horizontal="right"/>
    </xf>
    <xf numFmtId="2" fontId="5" fillId="0" borderId="0" xfId="0" applyNumberFormat="1" applyFont="1"/>
    <xf numFmtId="0" fontId="19" fillId="3" borderId="0" xfId="0" applyFont="1" applyFill="1" applyBorder="1"/>
    <xf numFmtId="2" fontId="19" fillId="3" borderId="0" xfId="0" applyNumberFormat="1" applyFont="1" applyFill="1" applyBorder="1"/>
    <xf numFmtId="0" fontId="19" fillId="0" borderId="0" xfId="0" applyFont="1"/>
    <xf numFmtId="0" fontId="22" fillId="6" borderId="26" xfId="0" applyFont="1" applyFill="1" applyBorder="1" applyAlignment="1">
      <alignment horizontal="center" vertical="center" wrapText="1"/>
    </xf>
    <xf numFmtId="0" fontId="0" fillId="0" borderId="34" xfId="0" applyFont="1" applyBorder="1" applyAlignment="1"/>
    <xf numFmtId="169" fontId="0" fillId="0" borderId="35" xfId="1" applyFont="1" applyBorder="1" applyAlignment="1" applyProtection="1"/>
    <xf numFmtId="0" fontId="0" fillId="0" borderId="36" xfId="0" applyFont="1" applyBorder="1" applyAlignment="1"/>
    <xf numFmtId="169" fontId="0" fillId="0" borderId="37" xfId="1" applyFont="1" applyBorder="1" applyAlignment="1" applyProtection="1"/>
    <xf numFmtId="169" fontId="0" fillId="0" borderId="0" xfId="0" applyNumberFormat="1" applyFont="1" applyAlignment="1"/>
    <xf numFmtId="169" fontId="0" fillId="0" borderId="37" xfId="0" applyNumberFormat="1" applyFont="1" applyBorder="1" applyAlignment="1"/>
    <xf numFmtId="0" fontId="0" fillId="0" borderId="38" xfId="0" applyFont="1" applyBorder="1" applyAlignment="1"/>
    <xf numFmtId="169" fontId="0" fillId="0" borderId="21" xfId="0" applyNumberFormat="1" applyFont="1" applyBorder="1" applyAlignment="1"/>
    <xf numFmtId="0" fontId="9" fillId="4" borderId="1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4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26" xfId="0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7" fontId="16" fillId="0" borderId="3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/>
    </xf>
    <xf numFmtId="4" fontId="16" fillId="0" borderId="24" xfId="0" applyNumberFormat="1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left"/>
    </xf>
    <xf numFmtId="4" fontId="16" fillId="0" borderId="3" xfId="0" applyNumberFormat="1" applyFont="1" applyBorder="1" applyAlignment="1">
      <alignment horizontal="center"/>
    </xf>
    <xf numFmtId="4" fontId="18" fillId="0" borderId="3" xfId="0" applyNumberFormat="1" applyFont="1" applyBorder="1" applyAlignment="1">
      <alignment horizontal="left"/>
    </xf>
    <xf numFmtId="0" fontId="16" fillId="4" borderId="3" xfId="0" applyFont="1" applyFill="1" applyBorder="1" applyAlignment="1">
      <alignment horizontal="center"/>
    </xf>
    <xf numFmtId="4" fontId="16" fillId="4" borderId="26" xfId="0" applyNumberFormat="1" applyFont="1" applyFill="1" applyBorder="1" applyAlignment="1">
      <alignment horizontal="center"/>
    </xf>
    <xf numFmtId="168" fontId="11" fillId="0" borderId="3" xfId="0" applyNumberFormat="1" applyFont="1" applyBorder="1" applyAlignment="1">
      <alignment horizontal="center"/>
    </xf>
    <xf numFmtId="165" fontId="16" fillId="0" borderId="32" xfId="0" applyNumberFormat="1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" fontId="16" fillId="0" borderId="3" xfId="0" applyNumberFormat="1" applyFont="1" applyBorder="1" applyAlignment="1">
      <alignment horizontal="right"/>
    </xf>
    <xf numFmtId="0" fontId="20" fillId="6" borderId="3" xfId="0" applyFont="1" applyFill="1" applyBorder="1" applyAlignment="1">
      <alignment horizontal="center" wrapText="1"/>
    </xf>
    <xf numFmtId="0" fontId="23" fillId="6" borderId="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A11"/>
      <rgbColor rgb="FF993300"/>
      <rgbColor rgb="FF993366"/>
      <rgbColor rgb="FF333399"/>
      <rgbColor rgb="FF1A1A1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40"/>
  <sheetViews>
    <sheetView showGridLines="0" workbookViewId="0">
      <selection activeCell="A157" sqref="A157"/>
    </sheetView>
  </sheetViews>
  <sheetFormatPr defaultRowHeight="15"/>
  <cols>
    <col min="1" max="1" width="40.42578125"/>
    <col min="2" max="2" width="96.42578125"/>
    <col min="3" max="3" width="43.7109375"/>
    <col min="4" max="4" width="15.140625"/>
    <col min="5" max="5" width="18.5703125"/>
    <col min="6" max="6" width="27.42578125"/>
    <col min="7" max="26" width="14"/>
  </cols>
  <sheetData>
    <row r="1" spans="1:26" ht="33.75">
      <c r="A1" s="14" t="s">
        <v>0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" customHeight="1">
      <c r="A2" s="16"/>
      <c r="B2" s="16" t="s">
        <v>1</v>
      </c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" customHeight="1">
      <c r="A3" s="13" t="s">
        <v>2</v>
      </c>
      <c r="B3" s="13"/>
      <c r="C3" s="13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" customHeight="1">
      <c r="A4" s="13" t="s">
        <v>3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1" customHeight="1">
      <c r="A5" s="17" t="s">
        <v>4</v>
      </c>
      <c r="B5" s="17" t="s">
        <v>5</v>
      </c>
      <c r="C5" s="17" t="s">
        <v>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1" customHeight="1">
      <c r="A6" s="13" t="s">
        <v>7</v>
      </c>
      <c r="B6" s="13"/>
      <c r="C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1" customHeight="1">
      <c r="A7" s="17" t="s">
        <v>8</v>
      </c>
      <c r="B7" s="17" t="s">
        <v>9</v>
      </c>
      <c r="C7" s="17" t="s">
        <v>10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1" customHeight="1">
      <c r="A8" s="17" t="s">
        <v>11</v>
      </c>
      <c r="B8" s="17" t="s">
        <v>12</v>
      </c>
      <c r="C8" s="17" t="s">
        <v>13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1" customHeight="1">
      <c r="A9" s="17" t="s">
        <v>14</v>
      </c>
      <c r="B9" s="13" t="s">
        <v>15</v>
      </c>
      <c r="C9" s="1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1" customHeight="1">
      <c r="A10" s="13" t="s">
        <v>16</v>
      </c>
      <c r="B10" s="13"/>
      <c r="C10" s="1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1" customHeight="1">
      <c r="A11" s="17" t="s">
        <v>17</v>
      </c>
      <c r="B11" s="17" t="s">
        <v>18</v>
      </c>
      <c r="C11" s="17" t="s">
        <v>19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1" customHeight="1">
      <c r="A12" s="17" t="s">
        <v>20</v>
      </c>
      <c r="B12" s="17" t="s">
        <v>21</v>
      </c>
      <c r="C12" s="17" t="s">
        <v>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1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1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1" customHeight="1">
      <c r="A15" s="18"/>
      <c r="B15" s="18" t="s">
        <v>23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1" customHeight="1">
      <c r="A16" s="19" t="s">
        <v>24</v>
      </c>
      <c r="B16" s="20" t="s">
        <v>25</v>
      </c>
      <c r="C16" s="21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" customHeight="1">
      <c r="A17" s="19" t="s">
        <v>26</v>
      </c>
      <c r="B17" s="20" t="s">
        <v>27</v>
      </c>
      <c r="C17" s="21" t="s">
        <v>28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1" customHeight="1">
      <c r="A18" s="19" t="s">
        <v>29</v>
      </c>
      <c r="B18" s="20" t="s">
        <v>30</v>
      </c>
      <c r="C18" s="2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1" customHeight="1">
      <c r="A19" s="19" t="s">
        <v>31</v>
      </c>
      <c r="B19" s="20" t="s">
        <v>32</v>
      </c>
      <c r="C19" s="21" t="s">
        <v>33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1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1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1" customHeight="1">
      <c r="A22" s="18" t="s">
        <v>34</v>
      </c>
      <c r="B22" s="18" t="s">
        <v>35</v>
      </c>
      <c r="C22" s="18" t="s">
        <v>36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1" customHeight="1">
      <c r="A23" s="21" t="s">
        <v>37</v>
      </c>
      <c r="B23" s="21" t="s">
        <v>38</v>
      </c>
      <c r="C23" s="22">
        <v>166990.65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1" customHeight="1">
      <c r="A24" s="20"/>
      <c r="B24" s="20"/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1" customHeight="1">
      <c r="A26" s="15"/>
      <c r="B26" s="23" t="s">
        <v>39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1" customHeight="1">
      <c r="A27" s="15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1" customHeight="1">
      <c r="A28" s="2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1" customHeight="1">
      <c r="A29" s="12" t="s">
        <v>40</v>
      </c>
      <c r="B29" s="12"/>
      <c r="C29" s="12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1" customHeight="1">
      <c r="A30" s="19">
        <v>1</v>
      </c>
      <c r="B30" s="25" t="s">
        <v>41</v>
      </c>
      <c r="C30" s="21" t="s">
        <v>37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1" customHeight="1">
      <c r="A31" s="19">
        <v>2</v>
      </c>
      <c r="B31" s="25" t="s">
        <v>42</v>
      </c>
      <c r="C31" s="22">
        <v>1301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1" customHeight="1">
      <c r="A32" s="19">
        <v>3</v>
      </c>
      <c r="B32" s="25" t="s">
        <v>43</v>
      </c>
      <c r="C32" s="26" t="s">
        <v>44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1" customHeight="1">
      <c r="A33" s="19">
        <v>4</v>
      </c>
      <c r="B33" s="25" t="s">
        <v>45</v>
      </c>
      <c r="C33" s="27">
        <v>44256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1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1" customHeight="1">
      <c r="A35" s="11" t="s">
        <v>46</v>
      </c>
      <c r="B35" s="11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1" customHeight="1">
      <c r="A36" s="2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1" customHeight="1">
      <c r="A37" s="10" t="s">
        <v>47</v>
      </c>
      <c r="B37" s="10"/>
      <c r="C37" s="18" t="s">
        <v>48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1" customHeight="1">
      <c r="A38" s="19" t="s">
        <v>24</v>
      </c>
      <c r="B38" s="20" t="s">
        <v>49</v>
      </c>
      <c r="C38" s="22">
        <f>C31</f>
        <v>1301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1" customHeight="1">
      <c r="A39" s="19" t="s">
        <v>26</v>
      </c>
      <c r="B39" s="20" t="s">
        <v>50</v>
      </c>
      <c r="C39" s="2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1" customHeight="1">
      <c r="A40" s="19" t="s">
        <v>29</v>
      </c>
      <c r="B40" s="20" t="s">
        <v>51</v>
      </c>
      <c r="C40" s="22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1" customHeight="1">
      <c r="A41" s="19" t="s">
        <v>31</v>
      </c>
      <c r="B41" s="20" t="s">
        <v>52</v>
      </c>
      <c r="C41" s="22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1" customHeight="1">
      <c r="A42" s="19" t="s">
        <v>53</v>
      </c>
      <c r="B42" s="20" t="s">
        <v>54</v>
      </c>
      <c r="C42" s="22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1" customHeight="1">
      <c r="A43" s="19" t="s">
        <v>55</v>
      </c>
      <c r="B43" s="20" t="s">
        <v>56</v>
      </c>
      <c r="C43" s="22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1" customHeight="1">
      <c r="A44" s="19" t="s">
        <v>57</v>
      </c>
      <c r="B44" s="20" t="s">
        <v>58</v>
      </c>
      <c r="C44" s="22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1" customHeight="1">
      <c r="A45" s="19" t="s">
        <v>59</v>
      </c>
      <c r="B45" s="20" t="s">
        <v>60</v>
      </c>
      <c r="C45" s="22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1" customHeight="1">
      <c r="A46" s="9" t="s">
        <v>61</v>
      </c>
      <c r="B46" s="9"/>
      <c r="C46" s="22">
        <f>SUM(C38:C45)</f>
        <v>1301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1" customHeight="1">
      <c r="A47" s="28" t="s">
        <v>62</v>
      </c>
      <c r="B47" s="2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1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1" customHeight="1">
      <c r="A49" s="11" t="s">
        <v>63</v>
      </c>
      <c r="B49" s="1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1" customHeight="1">
      <c r="A50" s="2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1" customHeight="1">
      <c r="A51" s="10" t="s">
        <v>64</v>
      </c>
      <c r="B51" s="10"/>
      <c r="C51" s="18" t="s">
        <v>48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1" customHeight="1">
      <c r="A52" s="19" t="s">
        <v>24</v>
      </c>
      <c r="B52" s="20" t="s">
        <v>65</v>
      </c>
      <c r="C52" s="29">
        <f>2*3.75*22 - 0.06*C46</f>
        <v>86.94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1" customHeight="1">
      <c r="A53" s="19" t="s">
        <v>26</v>
      </c>
      <c r="B53" s="20" t="s">
        <v>66</v>
      </c>
      <c r="C53" s="29">
        <f>19.5*22*0.9</f>
        <v>386.1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1" customHeight="1">
      <c r="A54" s="19" t="s">
        <v>29</v>
      </c>
      <c r="B54" s="20" t="s">
        <v>67</v>
      </c>
      <c r="C54" s="29"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1" customHeight="1">
      <c r="A55" s="19" t="s">
        <v>31</v>
      </c>
      <c r="B55" s="20" t="s">
        <v>68</v>
      </c>
      <c r="C55" s="29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1" customHeight="1">
      <c r="A56" s="19" t="s">
        <v>53</v>
      </c>
      <c r="B56" s="20" t="s">
        <v>69</v>
      </c>
      <c r="C56" s="29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1" customHeight="1">
      <c r="A57" s="19" t="s">
        <v>55</v>
      </c>
      <c r="B57" s="20" t="s">
        <v>70</v>
      </c>
      <c r="C57" s="29">
        <v>0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1" customHeight="1">
      <c r="A58" s="19" t="s">
        <v>57</v>
      </c>
      <c r="B58" s="30" t="s">
        <v>71</v>
      </c>
      <c r="C58" s="29">
        <v>16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1" customHeight="1">
      <c r="A59" s="9" t="s">
        <v>72</v>
      </c>
      <c r="B59" s="9"/>
      <c r="C59" s="29">
        <f>SUM(C52:C58)</f>
        <v>489.04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1" customHeight="1">
      <c r="A60" s="31" t="s">
        <v>73</v>
      </c>
      <c r="B60" s="32" t="s">
        <v>74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1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1" customHeight="1">
      <c r="A62" s="23" t="s">
        <v>75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1" customHeight="1">
      <c r="A63" s="2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1" customHeight="1">
      <c r="A64" s="10" t="s">
        <v>76</v>
      </c>
      <c r="B64" s="10"/>
      <c r="C64" s="18" t="s">
        <v>48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1" customHeight="1">
      <c r="A65" s="33" t="s">
        <v>24</v>
      </c>
      <c r="B65" s="28" t="s">
        <v>77</v>
      </c>
      <c r="C65" s="34">
        <v>0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1" customHeight="1">
      <c r="A66" s="19" t="s">
        <v>26</v>
      </c>
      <c r="B66" s="35" t="s">
        <v>78</v>
      </c>
      <c r="C66" s="29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1" customHeight="1">
      <c r="A67" s="19" t="s">
        <v>29</v>
      </c>
      <c r="B67" s="20" t="s">
        <v>79</v>
      </c>
      <c r="C67" s="29"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1" customHeight="1">
      <c r="A68" s="19" t="s">
        <v>31</v>
      </c>
      <c r="B68" s="20" t="s">
        <v>60</v>
      </c>
      <c r="C68" s="29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1" customHeight="1">
      <c r="A69" s="8" t="s">
        <v>80</v>
      </c>
      <c r="B69" s="8"/>
      <c r="C69" s="29">
        <f>SUM(C65:C68)</f>
        <v>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1" customHeight="1">
      <c r="A70" s="17" t="s">
        <v>81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1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1" customHeight="1">
      <c r="A72" s="36" t="s">
        <v>82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1" customHeight="1">
      <c r="A73" s="37"/>
      <c r="B73" s="38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1" customHeight="1">
      <c r="A74" s="11" t="s">
        <v>83</v>
      </c>
      <c r="B74" s="1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1" customHeight="1">
      <c r="A75" s="2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1" customHeight="1">
      <c r="A76" s="10" t="s">
        <v>84</v>
      </c>
      <c r="B76" s="10"/>
      <c r="C76" s="18" t="s">
        <v>85</v>
      </c>
      <c r="D76" s="18" t="s">
        <v>48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1" customHeight="1">
      <c r="A77" s="19" t="s">
        <v>24</v>
      </c>
      <c r="B77" s="20" t="s">
        <v>86</v>
      </c>
      <c r="C77" s="39">
        <v>0.2</v>
      </c>
      <c r="D77" s="29">
        <f t="shared" ref="D77:D84" si="0">C77*$C$46</f>
        <v>260.2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1" customHeight="1">
      <c r="A78" s="19" t="s">
        <v>26</v>
      </c>
      <c r="B78" s="20" t="s">
        <v>87</v>
      </c>
      <c r="C78" s="39">
        <v>1.4999999999999999E-2</v>
      </c>
      <c r="D78" s="29">
        <f t="shared" si="0"/>
        <v>19.515000000000001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1" customHeight="1">
      <c r="A79" s="19" t="s">
        <v>29</v>
      </c>
      <c r="B79" s="20" t="s">
        <v>88</v>
      </c>
      <c r="C79" s="39">
        <v>0.01</v>
      </c>
      <c r="D79" s="29">
        <f t="shared" si="0"/>
        <v>13.01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1" customHeight="1">
      <c r="A80" s="19" t="s">
        <v>31</v>
      </c>
      <c r="B80" s="20" t="s">
        <v>89</v>
      </c>
      <c r="C80" s="39">
        <v>2E-3</v>
      </c>
      <c r="D80" s="29">
        <f t="shared" si="0"/>
        <v>2.6019999999999999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1" customHeight="1">
      <c r="A81" s="19" t="s">
        <v>53</v>
      </c>
      <c r="B81" s="20" t="s">
        <v>90</v>
      </c>
      <c r="C81" s="39">
        <v>2.5000000000000001E-2</v>
      </c>
      <c r="D81" s="29">
        <f t="shared" si="0"/>
        <v>32.524999999999999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1" customHeight="1">
      <c r="A82" s="19" t="s">
        <v>55</v>
      </c>
      <c r="B82" s="20" t="s">
        <v>91</v>
      </c>
      <c r="C82" s="39">
        <v>0.08</v>
      </c>
      <c r="D82" s="29">
        <f t="shared" si="0"/>
        <v>104.08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1" customHeight="1">
      <c r="A83" s="19" t="s">
        <v>57</v>
      </c>
      <c r="B83" s="20" t="s">
        <v>92</v>
      </c>
      <c r="C83" s="39">
        <v>0.03</v>
      </c>
      <c r="D83" s="29">
        <f t="shared" si="0"/>
        <v>39.03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1" customHeight="1">
      <c r="A84" s="19" t="s">
        <v>59</v>
      </c>
      <c r="B84" s="20" t="s">
        <v>93</v>
      </c>
      <c r="C84" s="39">
        <v>6.0000000000000001E-3</v>
      </c>
      <c r="D84" s="29">
        <f t="shared" si="0"/>
        <v>7.806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1" customHeight="1">
      <c r="A85" s="8" t="s">
        <v>72</v>
      </c>
      <c r="B85" s="8"/>
      <c r="C85" s="39">
        <f>SUM(C77:C84)</f>
        <v>0.3680000000000001</v>
      </c>
      <c r="D85" s="29">
        <f>SUM(D77:D84)</f>
        <v>478.76799999999986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1" customHeight="1">
      <c r="A86" s="31" t="s">
        <v>94</v>
      </c>
      <c r="B86" s="32" t="s">
        <v>95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1" customHeight="1">
      <c r="A87" s="31" t="s">
        <v>96</v>
      </c>
      <c r="B87" s="32" t="s">
        <v>97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1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1" customHeight="1">
      <c r="A89" s="11" t="s">
        <v>98</v>
      </c>
      <c r="B89" s="1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1" customHeight="1">
      <c r="A90" s="2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1" customHeight="1">
      <c r="A91" s="10" t="s">
        <v>99</v>
      </c>
      <c r="B91" s="10"/>
      <c r="C91" s="18" t="s">
        <v>85</v>
      </c>
      <c r="D91" s="18" t="s">
        <v>48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1" customHeight="1">
      <c r="A92" s="19" t="s">
        <v>24</v>
      </c>
      <c r="B92" s="20" t="s">
        <v>100</v>
      </c>
      <c r="C92" s="39">
        <v>8.3299999999999999E-2</v>
      </c>
      <c r="D92" s="29">
        <f t="shared" ref="D92:D97" si="1">C92*$C$46</f>
        <v>108.3733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" customHeight="1">
      <c r="A93" s="19" t="s">
        <v>26</v>
      </c>
      <c r="B93" s="20" t="s">
        <v>101</v>
      </c>
      <c r="C93" s="39">
        <v>8.3299999999999999E-2</v>
      </c>
      <c r="D93" s="29">
        <f t="shared" si="1"/>
        <v>108.3733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1" customHeight="1">
      <c r="A94" s="19" t="s">
        <v>29</v>
      </c>
      <c r="B94" s="20" t="s">
        <v>102</v>
      </c>
      <c r="C94" s="39">
        <v>2.7799999999999998E-2</v>
      </c>
      <c r="D94" s="29">
        <f t="shared" si="1"/>
        <v>36.1678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1" customHeight="1">
      <c r="A95" s="21"/>
      <c r="B95" s="40" t="s">
        <v>103</v>
      </c>
      <c r="C95" s="39">
        <f>C92+C93+C94</f>
        <v>0.19439999999999999</v>
      </c>
      <c r="D95" s="29">
        <f t="shared" si="1"/>
        <v>252.91439999999997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1" customHeight="1">
      <c r="A96" s="19" t="s">
        <v>31</v>
      </c>
      <c r="B96" s="20" t="s">
        <v>104</v>
      </c>
      <c r="C96" s="39">
        <f>C85*C95</f>
        <v>7.1539200000000011E-2</v>
      </c>
      <c r="D96" s="29">
        <f t="shared" si="1"/>
        <v>93.07249920000001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1" customHeight="1">
      <c r="A97" s="8" t="s">
        <v>80</v>
      </c>
      <c r="B97" s="8"/>
      <c r="C97" s="39">
        <f>C95+C96</f>
        <v>0.26593919999999999</v>
      </c>
      <c r="D97" s="29">
        <f t="shared" si="1"/>
        <v>345.98689919999998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1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1" customHeight="1">
      <c r="A99" s="11" t="s">
        <v>105</v>
      </c>
      <c r="B99" s="11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1" customHeight="1">
      <c r="A100" s="2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1" customHeight="1">
      <c r="A101" s="10" t="s">
        <v>106</v>
      </c>
      <c r="B101" s="10"/>
      <c r="C101" s="18" t="s">
        <v>85</v>
      </c>
      <c r="D101" s="18" t="s">
        <v>48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1" customHeight="1">
      <c r="A102" s="19" t="s">
        <v>24</v>
      </c>
      <c r="B102" s="20" t="s">
        <v>107</v>
      </c>
      <c r="C102" s="39">
        <v>6.9999999999999999E-4</v>
      </c>
      <c r="D102" s="29">
        <f>C102*$C$46</f>
        <v>0.91069999999999995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1" customHeight="1">
      <c r="A103" s="19" t="s">
        <v>26</v>
      </c>
      <c r="B103" s="20" t="s">
        <v>108</v>
      </c>
      <c r="C103" s="39">
        <f>C102*C85</f>
        <v>2.5760000000000008E-4</v>
      </c>
      <c r="D103" s="29">
        <f>C103*$C$46</f>
        <v>0.33513760000000009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1" customHeight="1">
      <c r="A104" s="8" t="s">
        <v>80</v>
      </c>
      <c r="B104" s="8"/>
      <c r="C104" s="39">
        <f>SUM(C102:C103)</f>
        <v>9.5760000000000007E-4</v>
      </c>
      <c r="D104" s="29">
        <f>SUM(D102:D103)</f>
        <v>1.2458376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1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1" customHeight="1">
      <c r="A106" s="11" t="s">
        <v>109</v>
      </c>
      <c r="B106" s="1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1" customHeight="1">
      <c r="A107" s="2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1" customHeight="1">
      <c r="A108" s="10" t="s">
        <v>110</v>
      </c>
      <c r="B108" s="10"/>
      <c r="C108" s="18" t="s">
        <v>85</v>
      </c>
      <c r="D108" s="18" t="s">
        <v>48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1" customHeight="1">
      <c r="A109" s="19" t="s">
        <v>24</v>
      </c>
      <c r="B109" s="20" t="s">
        <v>111</v>
      </c>
      <c r="C109" s="39">
        <v>4.1999999999999997E-3</v>
      </c>
      <c r="D109" s="29">
        <f t="shared" ref="D109:D114" si="2">C109*$C$46</f>
        <v>5.4641999999999999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1" customHeight="1">
      <c r="A110" s="19" t="s">
        <v>26</v>
      </c>
      <c r="B110" s="20" t="s">
        <v>112</v>
      </c>
      <c r="C110" s="39">
        <f>0.08*C109</f>
        <v>3.3599999999999998E-4</v>
      </c>
      <c r="D110" s="29">
        <f t="shared" si="2"/>
        <v>0.43713599999999997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1" customHeight="1">
      <c r="A111" s="19" t="s">
        <v>29</v>
      </c>
      <c r="B111" s="20" t="s">
        <v>113</v>
      </c>
      <c r="C111" s="39">
        <f>0.0435*C109</f>
        <v>1.8269999999999997E-4</v>
      </c>
      <c r="D111" s="29">
        <f t="shared" si="2"/>
        <v>0.23769269999999995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1" customHeight="1">
      <c r="A112" s="19" t="s">
        <v>31</v>
      </c>
      <c r="B112" s="20" t="s">
        <v>114</v>
      </c>
      <c r="C112" s="39">
        <v>4.0000000000000002E-4</v>
      </c>
      <c r="D112" s="29">
        <f t="shared" si="2"/>
        <v>0.52039999999999997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1" customHeight="1">
      <c r="A113" s="19" t="s">
        <v>53</v>
      </c>
      <c r="B113" s="20" t="s">
        <v>115</v>
      </c>
      <c r="C113" s="39">
        <f>C112*C85</f>
        <v>1.4720000000000005E-4</v>
      </c>
      <c r="D113" s="29">
        <f t="shared" si="2"/>
        <v>0.19150720000000007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1" customHeight="1">
      <c r="A114" s="19" t="s">
        <v>55</v>
      </c>
      <c r="B114" s="20" t="s">
        <v>116</v>
      </c>
      <c r="C114" s="39">
        <v>1E-4</v>
      </c>
      <c r="D114" s="29">
        <f t="shared" si="2"/>
        <v>0.13009999999999999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1" customHeight="1">
      <c r="A115" s="8" t="s">
        <v>80</v>
      </c>
      <c r="B115" s="8"/>
      <c r="C115" s="39">
        <f>SUM(C109:C114)</f>
        <v>5.3659000000000007E-3</v>
      </c>
      <c r="D115" s="29">
        <f>SUM(D109:D114)</f>
        <v>6.9810358999999993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1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1" customHeight="1">
      <c r="A117" s="36" t="s">
        <v>117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1" customHeight="1">
      <c r="A118" s="2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1" customHeight="1">
      <c r="A119" s="10" t="s">
        <v>118</v>
      </c>
      <c r="B119" s="10"/>
      <c r="C119" s="18" t="s">
        <v>85</v>
      </c>
      <c r="D119" s="18" t="s">
        <v>48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1" customHeight="1">
      <c r="A120" s="19" t="s">
        <v>24</v>
      </c>
      <c r="B120" s="20" t="s">
        <v>119</v>
      </c>
      <c r="C120" s="39">
        <f>0.0833+0.0278</f>
        <v>0.1111</v>
      </c>
      <c r="D120" s="29">
        <f t="shared" ref="D120:D128" si="3">C120*$C$46</f>
        <v>144.5411</v>
      </c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1" customHeight="1">
      <c r="A121" s="19" t="s">
        <v>26</v>
      </c>
      <c r="B121" s="20" t="s">
        <v>120</v>
      </c>
      <c r="C121" s="39">
        <v>1.66E-2</v>
      </c>
      <c r="D121" s="29">
        <f t="shared" si="3"/>
        <v>21.596599999999999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" customHeight="1">
      <c r="A122" s="19" t="s">
        <v>29</v>
      </c>
      <c r="B122" s="20" t="s">
        <v>121</v>
      </c>
      <c r="C122" s="39">
        <v>0</v>
      </c>
      <c r="D122" s="29">
        <f t="shared" si="3"/>
        <v>0</v>
      </c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1" customHeight="1">
      <c r="A123" s="19" t="s">
        <v>31</v>
      </c>
      <c r="B123" s="20" t="s">
        <v>122</v>
      </c>
      <c r="C123" s="39">
        <v>2.8E-3</v>
      </c>
      <c r="D123" s="29">
        <f t="shared" si="3"/>
        <v>3.6427999999999998</v>
      </c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1" customHeight="1">
      <c r="A124" s="19" t="s">
        <v>53</v>
      </c>
      <c r="B124" s="20" t="s">
        <v>123</v>
      </c>
      <c r="C124" s="39">
        <v>2.9999999999999997E-4</v>
      </c>
      <c r="D124" s="29">
        <f t="shared" si="3"/>
        <v>0.39029999999999998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1" customHeight="1">
      <c r="A125" s="19" t="s">
        <v>55</v>
      </c>
      <c r="B125" s="20" t="s">
        <v>60</v>
      </c>
      <c r="C125" s="39"/>
      <c r="D125" s="29">
        <f t="shared" si="3"/>
        <v>0</v>
      </c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1" customHeight="1">
      <c r="A126" s="21"/>
      <c r="B126" s="40" t="s">
        <v>103</v>
      </c>
      <c r="C126" s="39">
        <f>SUM(C120:C125)</f>
        <v>0.1308</v>
      </c>
      <c r="D126" s="29">
        <f t="shared" si="3"/>
        <v>170.17079999999999</v>
      </c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1" customHeight="1">
      <c r="A127" s="19" t="s">
        <v>57</v>
      </c>
      <c r="B127" s="20" t="s">
        <v>124</v>
      </c>
      <c r="C127" s="39">
        <f>C126*C85</f>
        <v>4.8134400000000015E-2</v>
      </c>
      <c r="D127" s="29">
        <f t="shared" si="3"/>
        <v>62.622854400000016</v>
      </c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1" customHeight="1">
      <c r="A128" s="8" t="s">
        <v>80</v>
      </c>
      <c r="B128" s="8"/>
      <c r="C128" s="39">
        <f>C126+C127</f>
        <v>0.17893440000000002</v>
      </c>
      <c r="D128" s="29">
        <f t="shared" si="3"/>
        <v>232.79365440000004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1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1" customHeight="1">
      <c r="A130" s="36" t="s">
        <v>125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1" customHeight="1">
      <c r="A131" s="2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1" customHeight="1">
      <c r="A132" s="10" t="s">
        <v>126</v>
      </c>
      <c r="B132" s="10"/>
      <c r="C132" s="18" t="s">
        <v>85</v>
      </c>
      <c r="D132" s="18" t="s">
        <v>48</v>
      </c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1" customHeight="1">
      <c r="A133" s="41" t="s">
        <v>127</v>
      </c>
      <c r="B133" s="20" t="s">
        <v>128</v>
      </c>
      <c r="C133" s="39">
        <f>C85</f>
        <v>0.3680000000000001</v>
      </c>
      <c r="D133" s="29">
        <f>D85</f>
        <v>478.76799999999986</v>
      </c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1" customHeight="1">
      <c r="A134" s="41" t="s">
        <v>129</v>
      </c>
      <c r="B134" s="20" t="s">
        <v>130</v>
      </c>
      <c r="C134" s="39">
        <f>C97</f>
        <v>0.26593919999999999</v>
      </c>
      <c r="D134" s="29">
        <f>D97</f>
        <v>345.98689919999998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1" customHeight="1">
      <c r="A135" s="41" t="s">
        <v>131</v>
      </c>
      <c r="B135" s="20" t="s">
        <v>107</v>
      </c>
      <c r="C135" s="39">
        <f>C104</f>
        <v>9.5760000000000007E-4</v>
      </c>
      <c r="D135" s="29">
        <f>D104</f>
        <v>1.2458376</v>
      </c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1" customHeight="1">
      <c r="A136" s="41" t="s">
        <v>132</v>
      </c>
      <c r="B136" s="20" t="s">
        <v>133</v>
      </c>
      <c r="C136" s="39">
        <f>C115</f>
        <v>5.3659000000000007E-3</v>
      </c>
      <c r="D136" s="29">
        <f>D115</f>
        <v>6.9810358999999993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1" customHeight="1">
      <c r="A137" s="41" t="s">
        <v>134</v>
      </c>
      <c r="B137" s="20" t="s">
        <v>135</v>
      </c>
      <c r="C137" s="39">
        <f>C128</f>
        <v>0.17893440000000002</v>
      </c>
      <c r="D137" s="29">
        <f>D128</f>
        <v>232.79365440000004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1" customHeight="1">
      <c r="A138" s="41" t="s">
        <v>136</v>
      </c>
      <c r="B138" s="20" t="s">
        <v>60</v>
      </c>
      <c r="C138" s="39"/>
      <c r="D138" s="2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1" customHeight="1">
      <c r="A139" s="8" t="s">
        <v>80</v>
      </c>
      <c r="B139" s="8"/>
      <c r="C139" s="39">
        <f>SUM(C133:C138)</f>
        <v>0.81919710000000023</v>
      </c>
      <c r="D139" s="29">
        <f>SUM(D133:D138)</f>
        <v>1065.7754270999999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1" customHeight="1">
      <c r="A140" s="15"/>
      <c r="B140" s="15"/>
      <c r="C140" s="15"/>
      <c r="D140" s="42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1" customHeight="1">
      <c r="A141" s="11" t="s">
        <v>137</v>
      </c>
      <c r="B141" s="1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1" customHeight="1">
      <c r="A142" s="2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1" customHeight="1">
      <c r="A143" s="10" t="s">
        <v>138</v>
      </c>
      <c r="B143" s="10"/>
      <c r="C143" s="18" t="s">
        <v>85</v>
      </c>
      <c r="D143" s="18" t="s">
        <v>48</v>
      </c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1" customHeight="1">
      <c r="A144" s="19" t="s">
        <v>24</v>
      </c>
      <c r="B144" s="20" t="s">
        <v>139</v>
      </c>
      <c r="C144" s="39">
        <v>0.03</v>
      </c>
      <c r="D144" s="22">
        <f>C144*C167</f>
        <v>85.674462812999991</v>
      </c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1" customHeight="1">
      <c r="A145" s="19" t="s">
        <v>26</v>
      </c>
      <c r="B145" s="7" t="s">
        <v>140</v>
      </c>
      <c r="C145" s="7"/>
      <c r="D145" s="7"/>
      <c r="E145" s="43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1" customHeight="1">
      <c r="A146" s="19"/>
      <c r="B146" s="20" t="s">
        <v>141</v>
      </c>
      <c r="C146" s="39">
        <v>6.4999999999999997E-3</v>
      </c>
      <c r="D146" s="22">
        <f>(($C$167+$D$144+$D$153)/(1-$C$152))*C146</f>
        <v>22.351298136122168</v>
      </c>
      <c r="E146" s="43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1" customHeight="1">
      <c r="A147" s="19"/>
      <c r="B147" s="20" t="s">
        <v>142</v>
      </c>
      <c r="C147" s="39">
        <v>0.03</v>
      </c>
      <c r="D147" s="22">
        <f>(($C$167+$D$144+$D$153)/(1-$C$152))*C147</f>
        <v>103.15983755133308</v>
      </c>
      <c r="E147" s="43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1" customHeight="1">
      <c r="A148" s="19"/>
      <c r="B148" s="20" t="s">
        <v>143</v>
      </c>
      <c r="C148" s="39">
        <v>0</v>
      </c>
      <c r="D148" s="22">
        <f>(($C$167+$D$144+$D$153)/(1-$C$152))*C148</f>
        <v>0</v>
      </c>
      <c r="E148" s="43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1" customHeight="1">
      <c r="A149" s="19"/>
      <c r="B149" s="7" t="s">
        <v>144</v>
      </c>
      <c r="C149" s="7"/>
      <c r="D149" s="7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1" customHeight="1">
      <c r="A150" s="19"/>
      <c r="B150" s="7" t="s">
        <v>145</v>
      </c>
      <c r="C150" s="7"/>
      <c r="D150" s="7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1" customHeight="1">
      <c r="A151" s="19"/>
      <c r="B151" s="20" t="s">
        <v>146</v>
      </c>
      <c r="C151" s="39">
        <v>0.05</v>
      </c>
      <c r="D151" s="22">
        <f>(($C$167+$D$144+$D$153)/(1-$C$152))*C151</f>
        <v>171.93306258555515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1" customHeight="1">
      <c r="A152" s="19"/>
      <c r="B152" s="20" t="s">
        <v>147</v>
      </c>
      <c r="C152" s="39">
        <f>SUM(C146:C151)</f>
        <v>8.6499999999999994E-2</v>
      </c>
      <c r="D152" s="22">
        <f>(($C$167+$D$144+$D$153)/(1-$C$152))*C152</f>
        <v>297.44419827301039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1" customHeight="1">
      <c r="A153" s="19" t="s">
        <v>29</v>
      </c>
      <c r="B153" s="20" t="s">
        <v>148</v>
      </c>
      <c r="C153" s="39">
        <v>6.7900000000000002E-2</v>
      </c>
      <c r="D153" s="22">
        <f>C153*(C167+D144)</f>
        <v>199.72716352509269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1" customHeight="1">
      <c r="A154" s="6" t="s">
        <v>80</v>
      </c>
      <c r="B154" s="6"/>
      <c r="C154" s="44">
        <f>SUM(C144,C152,C153)</f>
        <v>0.18440000000000001</v>
      </c>
      <c r="D154" s="45">
        <f>SUM(D144,D152,D153)</f>
        <v>582.84582461110313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87" customHeight="1">
      <c r="A155" s="46" t="s">
        <v>149</v>
      </c>
      <c r="B155" s="5" t="s">
        <v>150</v>
      </c>
      <c r="C155" s="4" t="s">
        <v>151</v>
      </c>
      <c r="D155" s="4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87" customHeight="1">
      <c r="A156" s="46" t="s">
        <v>152</v>
      </c>
      <c r="B156" s="5"/>
      <c r="C156" s="4"/>
      <c r="D156" s="4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87" customHeight="1">
      <c r="A157" s="46" t="s">
        <v>153</v>
      </c>
      <c r="B157" s="5"/>
      <c r="C157" s="4"/>
      <c r="D157" s="4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1" customHeight="1">
      <c r="A158" s="47"/>
      <c r="B158" s="36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1" customHeight="1">
      <c r="A159" s="47"/>
      <c r="B159" s="36"/>
      <c r="C159" s="15"/>
      <c r="D159" s="3">
        <f>E169-C169</f>
        <v>-186.35740743965289</v>
      </c>
      <c r="E159" s="3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1" customHeight="1">
      <c r="A160" s="47"/>
      <c r="B160" s="36" t="s">
        <v>154</v>
      </c>
      <c r="C160" s="15"/>
      <c r="D160" s="48"/>
      <c r="E160" s="48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1" customHeight="1">
      <c r="A161" s="24"/>
      <c r="B161" s="15"/>
      <c r="C161" s="15"/>
      <c r="D161" s="48"/>
      <c r="E161" s="48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1" customHeight="1">
      <c r="A162" s="10" t="s">
        <v>155</v>
      </c>
      <c r="B162" s="10"/>
      <c r="C162" s="18" t="s">
        <v>48</v>
      </c>
      <c r="D162" s="48"/>
      <c r="E162" s="48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1" customHeight="1">
      <c r="A163" s="19" t="s">
        <v>24</v>
      </c>
      <c r="B163" s="20" t="s">
        <v>46</v>
      </c>
      <c r="C163" s="22">
        <f>C46</f>
        <v>1301</v>
      </c>
      <c r="D163" s="48"/>
      <c r="E163" s="49">
        <v>1239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1" customHeight="1">
      <c r="A164" s="19" t="s">
        <v>26</v>
      </c>
      <c r="B164" s="20" t="s">
        <v>63</v>
      </c>
      <c r="C164" s="22">
        <f>C59</f>
        <v>489.04</v>
      </c>
      <c r="D164" s="48"/>
      <c r="E164" s="49">
        <v>447.06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1" customHeight="1">
      <c r="A165" s="19" t="s">
        <v>29</v>
      </c>
      <c r="B165" s="20" t="s">
        <v>156</v>
      </c>
      <c r="C165" s="22">
        <f>C69</f>
        <v>0</v>
      </c>
      <c r="D165" s="48"/>
      <c r="E165" s="49">
        <v>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1" customHeight="1">
      <c r="A166" s="19" t="s">
        <v>31</v>
      </c>
      <c r="B166" s="20" t="s">
        <v>157</v>
      </c>
      <c r="C166" s="22">
        <f>D139</f>
        <v>1065.7754270999999</v>
      </c>
      <c r="D166" s="48"/>
      <c r="E166" s="49">
        <v>1014.9852069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1" customHeight="1">
      <c r="A167" s="21"/>
      <c r="B167" s="40" t="s">
        <v>158</v>
      </c>
      <c r="C167" s="22">
        <f>SUM(C163:C166)</f>
        <v>2855.8154270999999</v>
      </c>
      <c r="D167" s="48"/>
      <c r="E167" s="49">
        <v>2701.0452068999998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1" customHeight="1">
      <c r="A168" s="19" t="s">
        <v>53</v>
      </c>
      <c r="B168" s="20" t="s">
        <v>137</v>
      </c>
      <c r="C168" s="22">
        <f>D154</f>
        <v>582.84582461110313</v>
      </c>
      <c r="D168" s="48"/>
      <c r="E168" s="49">
        <v>551.25863737144505</v>
      </c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1" customHeight="1">
      <c r="A169" s="8" t="s">
        <v>159</v>
      </c>
      <c r="B169" s="8"/>
      <c r="C169" s="22">
        <f>C167+C168</f>
        <v>3438.661251711103</v>
      </c>
      <c r="D169" s="48"/>
      <c r="E169" s="49">
        <v>3252.3038442714501</v>
      </c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1" customHeight="1">
      <c r="A170" s="50"/>
      <c r="B170" s="15"/>
      <c r="C170" s="51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1" customHeight="1">
      <c r="A171" s="52"/>
      <c r="B171" s="53"/>
      <c r="C171" s="54"/>
      <c r="D171" s="53"/>
      <c r="E171" s="53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1" hidden="1" customHeight="1">
      <c r="A172" s="50"/>
      <c r="B172" s="15"/>
      <c r="C172" s="51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30" hidden="1" customHeight="1">
      <c r="A173" s="2" t="s">
        <v>160</v>
      </c>
      <c r="B173" s="2"/>
      <c r="C173" s="2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1" hidden="1" customHeight="1">
      <c r="A174" s="16"/>
      <c r="B174" s="16" t="s">
        <v>1</v>
      </c>
      <c r="C174" s="16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1" hidden="1" customHeight="1">
      <c r="A175" s="13" t="s">
        <v>2</v>
      </c>
      <c r="B175" s="13"/>
      <c r="C175" s="13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1" hidden="1" customHeight="1">
      <c r="A176" s="13" t="s">
        <v>3</v>
      </c>
      <c r="B176" s="13"/>
      <c r="C176" s="13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1" hidden="1" customHeight="1">
      <c r="A177" s="17" t="s">
        <v>4</v>
      </c>
      <c r="B177" s="17" t="s">
        <v>5</v>
      </c>
      <c r="C177" s="17" t="s">
        <v>6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1" hidden="1" customHeight="1">
      <c r="A178" s="13" t="s">
        <v>7</v>
      </c>
      <c r="B178" s="13"/>
      <c r="C178" s="13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1" hidden="1" customHeight="1">
      <c r="A179" s="17" t="s">
        <v>8</v>
      </c>
      <c r="B179" s="17" t="s">
        <v>9</v>
      </c>
      <c r="C179" s="17" t="s">
        <v>10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1" hidden="1" customHeight="1">
      <c r="A180" s="17" t="s">
        <v>11</v>
      </c>
      <c r="B180" s="17" t="s">
        <v>12</v>
      </c>
      <c r="C180" s="17" t="s">
        <v>13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1" hidden="1" customHeight="1">
      <c r="A181" s="17" t="s">
        <v>14</v>
      </c>
      <c r="B181" s="13" t="s">
        <v>15</v>
      </c>
      <c r="C181" s="13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1" hidden="1" customHeight="1">
      <c r="A182" s="13" t="s">
        <v>16</v>
      </c>
      <c r="B182" s="13"/>
      <c r="C182" s="13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1" hidden="1" customHeight="1">
      <c r="A183" s="17" t="s">
        <v>17</v>
      </c>
      <c r="B183" s="17" t="s">
        <v>18</v>
      </c>
      <c r="C183" s="17" t="s">
        <v>19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1" hidden="1" customHeight="1">
      <c r="A184" s="17" t="s">
        <v>20</v>
      </c>
      <c r="B184" s="17" t="s">
        <v>21</v>
      </c>
      <c r="C184" s="17" t="s">
        <v>22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1" hidden="1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1" hidden="1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1" hidden="1" customHeight="1">
      <c r="A187" s="18"/>
      <c r="B187" s="18" t="s">
        <v>23</v>
      </c>
      <c r="C187" s="18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1" hidden="1" customHeight="1">
      <c r="A188" s="19" t="s">
        <v>24</v>
      </c>
      <c r="B188" s="20" t="s">
        <v>25</v>
      </c>
      <c r="C188" s="21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1" hidden="1" customHeight="1">
      <c r="A189" s="19" t="s">
        <v>26</v>
      </c>
      <c r="B189" s="20" t="s">
        <v>27</v>
      </c>
      <c r="C189" s="21" t="s">
        <v>28</v>
      </c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1" hidden="1" customHeight="1">
      <c r="A190" s="19" t="s">
        <v>29</v>
      </c>
      <c r="B190" s="20" t="s">
        <v>30</v>
      </c>
      <c r="C190" s="21" t="s">
        <v>161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1" hidden="1" customHeight="1">
      <c r="A191" s="19" t="s">
        <v>31</v>
      </c>
      <c r="B191" s="20" t="s">
        <v>162</v>
      </c>
      <c r="C191" s="21" t="s">
        <v>163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1" hidden="1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1" hidden="1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1" hidden="1" customHeight="1">
      <c r="A194" s="18" t="s">
        <v>34</v>
      </c>
      <c r="B194" s="18" t="s">
        <v>35</v>
      </c>
      <c r="C194" s="18" t="s">
        <v>36</v>
      </c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1" hidden="1" customHeight="1">
      <c r="A195" s="21" t="s">
        <v>37</v>
      </c>
      <c r="B195" s="21" t="s">
        <v>38</v>
      </c>
      <c r="C195" s="22">
        <v>166990.65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1" hidden="1" customHeight="1">
      <c r="A196" s="20"/>
      <c r="B196" s="20"/>
      <c r="C196" s="20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1" hidden="1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1" hidden="1" customHeight="1">
      <c r="A198" s="15"/>
      <c r="B198" s="23" t="s">
        <v>39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1" hidden="1" customHeight="1">
      <c r="A199" s="2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1" hidden="1" customHeight="1">
      <c r="A200" s="12" t="s">
        <v>40</v>
      </c>
      <c r="B200" s="12"/>
      <c r="C200" s="12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1" hidden="1" customHeight="1">
      <c r="A201" s="19">
        <v>1</v>
      </c>
      <c r="B201" s="25" t="s">
        <v>41</v>
      </c>
      <c r="C201" s="21" t="s">
        <v>37</v>
      </c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1" hidden="1" customHeight="1">
      <c r="A202" s="19">
        <v>2</v>
      </c>
      <c r="B202" s="25" t="s">
        <v>42</v>
      </c>
      <c r="C202" s="22">
        <v>1547.53</v>
      </c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1" hidden="1" customHeight="1">
      <c r="A203" s="19">
        <v>3</v>
      </c>
      <c r="B203" s="25" t="s">
        <v>43</v>
      </c>
      <c r="C203" s="26" t="s">
        <v>164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1" hidden="1" customHeight="1">
      <c r="A204" s="19">
        <v>4</v>
      </c>
      <c r="B204" s="25" t="s">
        <v>45</v>
      </c>
      <c r="C204" s="27">
        <v>44256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1" hidden="1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1" hidden="1" customHeight="1">
      <c r="A206" s="23" t="s">
        <v>46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1" hidden="1" customHeight="1">
      <c r="A207" s="2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1" hidden="1" customHeight="1">
      <c r="A208" s="10" t="s">
        <v>47</v>
      </c>
      <c r="B208" s="10"/>
      <c r="C208" s="18" t="s">
        <v>48</v>
      </c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1" hidden="1" customHeight="1">
      <c r="A209" s="19" t="s">
        <v>24</v>
      </c>
      <c r="B209" s="20" t="s">
        <v>49</v>
      </c>
      <c r="C209" s="22">
        <f>C202</f>
        <v>1547.53</v>
      </c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1" hidden="1" customHeight="1">
      <c r="A210" s="19" t="s">
        <v>26</v>
      </c>
      <c r="B210" s="20" t="s">
        <v>50</v>
      </c>
      <c r="C210" s="22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1" hidden="1" customHeight="1">
      <c r="A211" s="19" t="s">
        <v>29</v>
      </c>
      <c r="B211" s="20" t="s">
        <v>51</v>
      </c>
      <c r="C211" s="22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1" hidden="1" customHeight="1">
      <c r="A212" s="19" t="s">
        <v>31</v>
      </c>
      <c r="B212" s="20" t="s">
        <v>52</v>
      </c>
      <c r="C212" s="22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1" hidden="1" customHeight="1">
      <c r="A213" s="19" t="s">
        <v>53</v>
      </c>
      <c r="B213" s="20" t="s">
        <v>54</v>
      </c>
      <c r="C213" s="22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1" hidden="1" customHeight="1">
      <c r="A214" s="19" t="s">
        <v>55</v>
      </c>
      <c r="B214" s="20" t="s">
        <v>56</v>
      </c>
      <c r="C214" s="22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1" hidden="1" customHeight="1">
      <c r="A215" s="19" t="s">
        <v>57</v>
      </c>
      <c r="B215" s="20" t="s">
        <v>58</v>
      </c>
      <c r="C215" s="22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1" hidden="1" customHeight="1">
      <c r="A216" s="19" t="s">
        <v>59</v>
      </c>
      <c r="B216" s="20" t="s">
        <v>60</v>
      </c>
      <c r="C216" s="22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1" hidden="1" customHeight="1">
      <c r="A217" s="9" t="s">
        <v>61</v>
      </c>
      <c r="B217" s="9"/>
      <c r="C217" s="22">
        <f>SUM(C209:C216)</f>
        <v>1547.53</v>
      </c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1" hidden="1" customHeight="1">
      <c r="A218" s="28" t="s">
        <v>62</v>
      </c>
      <c r="B218" s="28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1" hidden="1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1" hidden="1" customHeight="1">
      <c r="A220" s="23" t="s">
        <v>63</v>
      </c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1" hidden="1" customHeight="1">
      <c r="A221" s="2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1" hidden="1" customHeight="1">
      <c r="A222" s="10" t="s">
        <v>64</v>
      </c>
      <c r="B222" s="10"/>
      <c r="C222" s="18" t="s">
        <v>48</v>
      </c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1" hidden="1" customHeight="1">
      <c r="A223" s="19" t="s">
        <v>24</v>
      </c>
      <c r="B223" s="20" t="s">
        <v>65</v>
      </c>
      <c r="C223" s="29">
        <f>2*3.75*22 - 0.06*C217</f>
        <v>72.148200000000003</v>
      </c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1" hidden="1" customHeight="1">
      <c r="A224" s="19" t="s">
        <v>26</v>
      </c>
      <c r="B224" s="20" t="s">
        <v>66</v>
      </c>
      <c r="C224" s="29">
        <f>18*22*0.9</f>
        <v>356.40000000000003</v>
      </c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1" hidden="1" customHeight="1">
      <c r="A225" s="19" t="s">
        <v>29</v>
      </c>
      <c r="B225" s="20" t="s">
        <v>67</v>
      </c>
      <c r="C225" s="29">
        <v>0</v>
      </c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1" hidden="1" customHeight="1">
      <c r="A226" s="19" t="s">
        <v>31</v>
      </c>
      <c r="B226" s="20" t="s">
        <v>68</v>
      </c>
      <c r="C226" s="29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1" hidden="1" customHeight="1">
      <c r="A227" s="19" t="s">
        <v>53</v>
      </c>
      <c r="B227" s="20" t="s">
        <v>69</v>
      </c>
      <c r="C227" s="29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1" hidden="1" customHeight="1">
      <c r="A228" s="19" t="s">
        <v>55</v>
      </c>
      <c r="B228" s="20" t="s">
        <v>70</v>
      </c>
      <c r="C228" s="29">
        <v>0</v>
      </c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1" hidden="1" customHeight="1">
      <c r="A229" s="19" t="s">
        <v>57</v>
      </c>
      <c r="B229" s="30" t="s">
        <v>60</v>
      </c>
      <c r="C229" s="29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1" hidden="1" customHeight="1">
      <c r="A230" s="9" t="s">
        <v>72</v>
      </c>
      <c r="B230" s="9"/>
      <c r="C230" s="29">
        <f>SUM(C223:C229)</f>
        <v>428.54820000000007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1" hidden="1" customHeight="1">
      <c r="A231" s="31" t="s">
        <v>73</v>
      </c>
      <c r="B231" s="32" t="s">
        <v>74</v>
      </c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1" hidden="1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1" hidden="1" customHeight="1">
      <c r="A233" s="23" t="s">
        <v>75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1" hidden="1" customHeight="1">
      <c r="A234" s="2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1" hidden="1" customHeight="1">
      <c r="A235" s="10" t="s">
        <v>165</v>
      </c>
      <c r="B235" s="10"/>
      <c r="C235" s="18" t="s">
        <v>48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1" hidden="1" customHeight="1">
      <c r="A236" s="19" t="s">
        <v>24</v>
      </c>
      <c r="B236" s="55" t="s">
        <v>166</v>
      </c>
      <c r="C236" s="29">
        <v>0</v>
      </c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1" hidden="1" customHeight="1">
      <c r="A237" s="19" t="s">
        <v>26</v>
      </c>
      <c r="B237" s="55" t="s">
        <v>78</v>
      </c>
      <c r="C237" s="29">
        <v>0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1" hidden="1" customHeight="1">
      <c r="A238" s="19" t="s">
        <v>29</v>
      </c>
      <c r="B238" s="55" t="s">
        <v>79</v>
      </c>
      <c r="C238" s="29">
        <v>0</v>
      </c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1" hidden="1" customHeight="1">
      <c r="A239" s="19" t="s">
        <v>31</v>
      </c>
      <c r="B239" s="55" t="s">
        <v>60</v>
      </c>
      <c r="C239" s="29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1" hidden="1" customHeight="1">
      <c r="A240" s="8" t="s">
        <v>80</v>
      </c>
      <c r="B240" s="8"/>
      <c r="C240" s="29">
        <f>SUM(C236:C239)</f>
        <v>0</v>
      </c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1" hidden="1" customHeight="1">
      <c r="A241" s="17" t="s">
        <v>81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1" hidden="1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1" hidden="1" customHeight="1">
      <c r="A243" s="36" t="s">
        <v>82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1" hidden="1" customHeight="1">
      <c r="A244" s="36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1" hidden="1" customHeight="1">
      <c r="A245" s="36" t="s">
        <v>83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1" hidden="1" customHeight="1">
      <c r="A246" s="2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1" hidden="1" customHeight="1">
      <c r="A247" s="10" t="s">
        <v>84</v>
      </c>
      <c r="B247" s="10"/>
      <c r="C247" s="18" t="s">
        <v>85</v>
      </c>
      <c r="D247" s="18" t="s">
        <v>48</v>
      </c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1" hidden="1" customHeight="1">
      <c r="A248" s="19" t="s">
        <v>24</v>
      </c>
      <c r="B248" s="20" t="s">
        <v>86</v>
      </c>
      <c r="C248" s="39">
        <v>0.2</v>
      </c>
      <c r="D248" s="29">
        <f t="shared" ref="D248:D255" si="4">C248*$C$217</f>
        <v>309.50600000000003</v>
      </c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1" hidden="1" customHeight="1">
      <c r="A249" s="19" t="s">
        <v>26</v>
      </c>
      <c r="B249" s="20" t="s">
        <v>87</v>
      </c>
      <c r="C249" s="39">
        <v>1.4999999999999999E-2</v>
      </c>
      <c r="D249" s="29">
        <f t="shared" si="4"/>
        <v>23.212949999999999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1" hidden="1" customHeight="1">
      <c r="A250" s="19" t="s">
        <v>29</v>
      </c>
      <c r="B250" s="20" t="s">
        <v>88</v>
      </c>
      <c r="C250" s="39">
        <v>0.01</v>
      </c>
      <c r="D250" s="29">
        <f t="shared" si="4"/>
        <v>15.475300000000001</v>
      </c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1" hidden="1" customHeight="1">
      <c r="A251" s="19" t="s">
        <v>31</v>
      </c>
      <c r="B251" s="20" t="s">
        <v>89</v>
      </c>
      <c r="C251" s="39">
        <v>2E-3</v>
      </c>
      <c r="D251" s="29">
        <f t="shared" si="4"/>
        <v>3.0950600000000001</v>
      </c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1" hidden="1" customHeight="1">
      <c r="A252" s="19" t="s">
        <v>53</v>
      </c>
      <c r="B252" s="20" t="s">
        <v>90</v>
      </c>
      <c r="C252" s="39">
        <v>2.5000000000000001E-2</v>
      </c>
      <c r="D252" s="29">
        <f t="shared" si="4"/>
        <v>38.688250000000004</v>
      </c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1" hidden="1" customHeight="1">
      <c r="A253" s="19" t="s">
        <v>55</v>
      </c>
      <c r="B253" s="20" t="s">
        <v>91</v>
      </c>
      <c r="C253" s="39">
        <v>0.08</v>
      </c>
      <c r="D253" s="29">
        <f t="shared" si="4"/>
        <v>123.80240000000001</v>
      </c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1" hidden="1" customHeight="1">
      <c r="A254" s="19" t="s">
        <v>57</v>
      </c>
      <c r="B254" s="20" t="s">
        <v>92</v>
      </c>
      <c r="C254" s="39">
        <v>0.03</v>
      </c>
      <c r="D254" s="29">
        <f t="shared" si="4"/>
        <v>46.425899999999999</v>
      </c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1" hidden="1" customHeight="1">
      <c r="A255" s="19" t="s">
        <v>59</v>
      </c>
      <c r="B255" s="20" t="s">
        <v>93</v>
      </c>
      <c r="C255" s="39">
        <v>6.0000000000000001E-3</v>
      </c>
      <c r="D255" s="29">
        <f t="shared" si="4"/>
        <v>9.2851800000000004</v>
      </c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1" hidden="1" customHeight="1">
      <c r="A256" s="8" t="s">
        <v>72</v>
      </c>
      <c r="B256" s="8"/>
      <c r="C256" s="39">
        <f>SUM(C248:C255)</f>
        <v>0.3680000000000001</v>
      </c>
      <c r="D256" s="29">
        <f>SUM(D248:D255)</f>
        <v>569.49103999999988</v>
      </c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1" hidden="1" customHeight="1">
      <c r="A257" s="31" t="s">
        <v>94</v>
      </c>
      <c r="B257" s="32" t="s">
        <v>95</v>
      </c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1" hidden="1" customHeight="1">
      <c r="A258" s="31" t="s">
        <v>96</v>
      </c>
      <c r="B258" s="32" t="s">
        <v>97</v>
      </c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1" hidden="1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1" hidden="1" customHeight="1">
      <c r="A260" s="23" t="s">
        <v>167</v>
      </c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1" hidden="1" customHeight="1">
      <c r="A261" s="2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1" hidden="1" customHeight="1">
      <c r="A262" s="10" t="s">
        <v>99</v>
      </c>
      <c r="B262" s="10"/>
      <c r="C262" s="18" t="s">
        <v>85</v>
      </c>
      <c r="D262" s="18" t="s">
        <v>48</v>
      </c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1" hidden="1" customHeight="1">
      <c r="A263" s="19" t="s">
        <v>24</v>
      </c>
      <c r="B263" s="20" t="s">
        <v>100</v>
      </c>
      <c r="C263" s="39">
        <v>8.3299999999999999E-2</v>
      </c>
      <c r="D263" s="29">
        <f t="shared" ref="D263:D268" si="5">C263*$C$217</f>
        <v>128.90924899999999</v>
      </c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1" hidden="1" customHeight="1">
      <c r="A264" s="19" t="s">
        <v>26</v>
      </c>
      <c r="B264" s="20" t="s">
        <v>101</v>
      </c>
      <c r="C264" s="39">
        <v>8.3299999999999999E-2</v>
      </c>
      <c r="D264" s="29">
        <f t="shared" si="5"/>
        <v>128.90924899999999</v>
      </c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1" hidden="1" customHeight="1">
      <c r="A265" s="19" t="s">
        <v>29</v>
      </c>
      <c r="B265" s="20" t="s">
        <v>102</v>
      </c>
      <c r="C265" s="39">
        <v>2.7799999999999998E-2</v>
      </c>
      <c r="D265" s="29">
        <f t="shared" si="5"/>
        <v>43.021333999999996</v>
      </c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1" hidden="1" customHeight="1">
      <c r="A266" s="21"/>
      <c r="B266" s="40" t="s">
        <v>103</v>
      </c>
      <c r="C266" s="39">
        <f>C263+C264+C265</f>
        <v>0.19439999999999999</v>
      </c>
      <c r="D266" s="29">
        <f t="shared" si="5"/>
        <v>300.839832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1" hidden="1" customHeight="1">
      <c r="A267" s="19" t="s">
        <v>31</v>
      </c>
      <c r="B267" s="20" t="s">
        <v>104</v>
      </c>
      <c r="C267" s="39">
        <f>C256*C266</f>
        <v>7.1539200000000011E-2</v>
      </c>
      <c r="D267" s="29">
        <f t="shared" si="5"/>
        <v>110.70905817600001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1" hidden="1" customHeight="1">
      <c r="A268" s="8" t="s">
        <v>80</v>
      </c>
      <c r="B268" s="8"/>
      <c r="C268" s="39">
        <f>C266+C267</f>
        <v>0.26593919999999999</v>
      </c>
      <c r="D268" s="29">
        <f t="shared" si="5"/>
        <v>411.54889017599999</v>
      </c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1" hidden="1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1" hidden="1" customHeight="1">
      <c r="A270" s="23" t="s">
        <v>105</v>
      </c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1" hidden="1" customHeight="1">
      <c r="A271" s="2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1" hidden="1" customHeight="1">
      <c r="A272" s="10" t="s">
        <v>106</v>
      </c>
      <c r="B272" s="10"/>
      <c r="C272" s="18" t="s">
        <v>85</v>
      </c>
      <c r="D272" s="18" t="s">
        <v>48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1" hidden="1" customHeight="1">
      <c r="A273" s="19" t="s">
        <v>24</v>
      </c>
      <c r="B273" s="20" t="s">
        <v>107</v>
      </c>
      <c r="C273" s="39">
        <v>6.9999999999999999E-4</v>
      </c>
      <c r="D273" s="29">
        <f>C273*$C$217</f>
        <v>1.0832709999999999</v>
      </c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1" hidden="1" customHeight="1">
      <c r="A274" s="19" t="s">
        <v>26</v>
      </c>
      <c r="B274" s="20" t="s">
        <v>108</v>
      </c>
      <c r="C274" s="39">
        <f>C273*C256</f>
        <v>2.5760000000000008E-4</v>
      </c>
      <c r="D274" s="29">
        <f>C274*$C$217</f>
        <v>0.39864372800000014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1" hidden="1" customHeight="1">
      <c r="A275" s="8" t="s">
        <v>80</v>
      </c>
      <c r="B275" s="8"/>
      <c r="C275" s="39">
        <f>SUM(C273:C274)</f>
        <v>9.5760000000000007E-4</v>
      </c>
      <c r="D275" s="29">
        <f>SUM(D273:D274)</f>
        <v>1.481914728</v>
      </c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1" hidden="1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1" hidden="1" customHeight="1">
      <c r="A277" s="23" t="s">
        <v>109</v>
      </c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1" hidden="1" customHeight="1">
      <c r="A278" s="2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1" hidden="1" customHeight="1">
      <c r="A279" s="10" t="s">
        <v>110</v>
      </c>
      <c r="B279" s="10"/>
      <c r="C279" s="18" t="s">
        <v>85</v>
      </c>
      <c r="D279" s="18" t="s">
        <v>48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1" hidden="1" customHeight="1">
      <c r="A280" s="19" t="s">
        <v>24</v>
      </c>
      <c r="B280" s="20" t="s">
        <v>111</v>
      </c>
      <c r="C280" s="39">
        <v>4.1999999999999997E-3</v>
      </c>
      <c r="D280" s="29">
        <f t="shared" ref="D280:D285" si="6">C280*$C$217</f>
        <v>6.4996259999999992</v>
      </c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1" hidden="1" customHeight="1">
      <c r="A281" s="19" t="s">
        <v>26</v>
      </c>
      <c r="B281" s="20" t="s">
        <v>112</v>
      </c>
      <c r="C281" s="39">
        <f>0.08*C280</f>
        <v>3.3599999999999998E-4</v>
      </c>
      <c r="D281" s="29">
        <f t="shared" si="6"/>
        <v>0.51997008</v>
      </c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1" hidden="1" customHeight="1">
      <c r="A282" s="19" t="s">
        <v>29</v>
      </c>
      <c r="B282" s="20" t="s">
        <v>113</v>
      </c>
      <c r="C282" s="39">
        <f>0.0435*C280</f>
        <v>1.8269999999999997E-4</v>
      </c>
      <c r="D282" s="29">
        <f t="shared" si="6"/>
        <v>0.28273373099999993</v>
      </c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1" hidden="1" customHeight="1">
      <c r="A283" s="19" t="s">
        <v>31</v>
      </c>
      <c r="B283" s="20" t="s">
        <v>114</v>
      </c>
      <c r="C283" s="39">
        <v>4.0000000000000002E-4</v>
      </c>
      <c r="D283" s="29">
        <f t="shared" si="6"/>
        <v>0.61901200000000001</v>
      </c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1" hidden="1" customHeight="1">
      <c r="A284" s="19" t="s">
        <v>53</v>
      </c>
      <c r="B284" s="20" t="s">
        <v>115</v>
      </c>
      <c r="C284" s="39">
        <f>C283*C256</f>
        <v>1.4720000000000005E-4</v>
      </c>
      <c r="D284" s="29">
        <f t="shared" si="6"/>
        <v>0.22779641600000008</v>
      </c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1" hidden="1" customHeight="1">
      <c r="A285" s="19" t="s">
        <v>55</v>
      </c>
      <c r="B285" s="20" t="s">
        <v>116</v>
      </c>
      <c r="C285" s="39">
        <v>1E-4</v>
      </c>
      <c r="D285" s="29">
        <f t="shared" si="6"/>
        <v>0.154753</v>
      </c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1" hidden="1" customHeight="1">
      <c r="A286" s="8" t="s">
        <v>80</v>
      </c>
      <c r="B286" s="8"/>
      <c r="C286" s="39">
        <f>SUM(C280:C285)</f>
        <v>5.3659000000000007E-3</v>
      </c>
      <c r="D286" s="29">
        <f>SUM(D280:D285)</f>
        <v>8.3038912269999976</v>
      </c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1" hidden="1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1" hidden="1" customHeight="1">
      <c r="A288" s="36" t="s">
        <v>117</v>
      </c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1" hidden="1" customHeight="1">
      <c r="A289" s="2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1" hidden="1" customHeight="1">
      <c r="A290" s="10" t="s">
        <v>118</v>
      </c>
      <c r="B290" s="10"/>
      <c r="C290" s="18" t="s">
        <v>85</v>
      </c>
      <c r="D290" s="18" t="s">
        <v>48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1" hidden="1" customHeight="1">
      <c r="A291" s="19" t="s">
        <v>24</v>
      </c>
      <c r="B291" s="20" t="s">
        <v>119</v>
      </c>
      <c r="C291" s="39">
        <f>0.0833+0.0278</f>
        <v>0.1111</v>
      </c>
      <c r="D291" s="29">
        <f>C291*$C$217</f>
        <v>171.93058300000001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1" hidden="1" customHeight="1">
      <c r="A292" s="19" t="s">
        <v>26</v>
      </c>
      <c r="B292" s="20" t="s">
        <v>120</v>
      </c>
      <c r="C292" s="39">
        <v>1.66E-2</v>
      </c>
      <c r="D292" s="29">
        <f t="shared" ref="D292:D299" si="7">C292*$C$46</f>
        <v>21.596599999999999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1" hidden="1" customHeight="1">
      <c r="A293" s="19" t="s">
        <v>29</v>
      </c>
      <c r="B293" s="20" t="s">
        <v>121</v>
      </c>
      <c r="C293" s="39">
        <v>0</v>
      </c>
      <c r="D293" s="29">
        <f t="shared" si="7"/>
        <v>0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1" hidden="1" customHeight="1">
      <c r="A294" s="19" t="s">
        <v>31</v>
      </c>
      <c r="B294" s="20" t="s">
        <v>122</v>
      </c>
      <c r="C294" s="39">
        <v>2.8E-3</v>
      </c>
      <c r="D294" s="29">
        <f t="shared" si="7"/>
        <v>3.6427999999999998</v>
      </c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1" hidden="1" customHeight="1">
      <c r="A295" s="19" t="s">
        <v>53</v>
      </c>
      <c r="B295" s="20" t="s">
        <v>123</v>
      </c>
      <c r="C295" s="39">
        <v>2.9999999999999997E-4</v>
      </c>
      <c r="D295" s="29">
        <f t="shared" si="7"/>
        <v>0.39029999999999998</v>
      </c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1" hidden="1" customHeight="1">
      <c r="A296" s="19" t="s">
        <v>55</v>
      </c>
      <c r="B296" s="20" t="s">
        <v>60</v>
      </c>
      <c r="C296" s="39"/>
      <c r="D296" s="29">
        <f t="shared" si="7"/>
        <v>0</v>
      </c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1" hidden="1" customHeight="1">
      <c r="A297" s="21"/>
      <c r="B297" s="40" t="s">
        <v>103</v>
      </c>
      <c r="C297" s="39">
        <f>SUM(C291:C296)</f>
        <v>0.1308</v>
      </c>
      <c r="D297" s="29">
        <f t="shared" si="7"/>
        <v>170.17079999999999</v>
      </c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1" hidden="1" customHeight="1">
      <c r="A298" s="19" t="s">
        <v>57</v>
      </c>
      <c r="B298" s="20" t="s">
        <v>124</v>
      </c>
      <c r="C298" s="39">
        <f>C297*C256</f>
        <v>4.8134400000000015E-2</v>
      </c>
      <c r="D298" s="29">
        <f t="shared" si="7"/>
        <v>62.622854400000016</v>
      </c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1" hidden="1" customHeight="1">
      <c r="A299" s="8" t="s">
        <v>80</v>
      </c>
      <c r="B299" s="8"/>
      <c r="C299" s="39">
        <f>C297+C298</f>
        <v>0.17893440000000002</v>
      </c>
      <c r="D299" s="29">
        <f t="shared" si="7"/>
        <v>232.79365440000004</v>
      </c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1" hidden="1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1" hidden="1" customHeight="1">
      <c r="A301" s="36" t="s">
        <v>125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1" hidden="1" customHeight="1">
      <c r="A302" s="2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1" hidden="1" customHeight="1">
      <c r="A303" s="10" t="s">
        <v>126</v>
      </c>
      <c r="B303" s="10"/>
      <c r="C303" s="18" t="s">
        <v>85</v>
      </c>
      <c r="D303" s="18" t="s">
        <v>48</v>
      </c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1" hidden="1" customHeight="1">
      <c r="A304" s="41" t="s">
        <v>127</v>
      </c>
      <c r="B304" s="20" t="s">
        <v>128</v>
      </c>
      <c r="C304" s="39">
        <f>C256</f>
        <v>0.3680000000000001</v>
      </c>
      <c r="D304" s="29">
        <f>D256</f>
        <v>569.49103999999988</v>
      </c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1" hidden="1" customHeight="1">
      <c r="A305" s="41" t="s">
        <v>129</v>
      </c>
      <c r="B305" s="20" t="s">
        <v>168</v>
      </c>
      <c r="C305" s="39">
        <f>C268</f>
        <v>0.26593919999999999</v>
      </c>
      <c r="D305" s="29">
        <f>D268</f>
        <v>411.54889017599999</v>
      </c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1" hidden="1" customHeight="1">
      <c r="A306" s="41" t="s">
        <v>131</v>
      </c>
      <c r="B306" s="20" t="s">
        <v>107</v>
      </c>
      <c r="C306" s="39">
        <f>C275</f>
        <v>9.5760000000000007E-4</v>
      </c>
      <c r="D306" s="29">
        <f>D275</f>
        <v>1.481914728</v>
      </c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1" hidden="1" customHeight="1">
      <c r="A307" s="41" t="s">
        <v>132</v>
      </c>
      <c r="B307" s="20" t="s">
        <v>133</v>
      </c>
      <c r="C307" s="39">
        <f>C286</f>
        <v>5.3659000000000007E-3</v>
      </c>
      <c r="D307" s="29">
        <f>D286</f>
        <v>8.3038912269999976</v>
      </c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1" hidden="1" customHeight="1">
      <c r="A308" s="41" t="s">
        <v>134</v>
      </c>
      <c r="B308" s="20" t="s">
        <v>135</v>
      </c>
      <c r="C308" s="39">
        <f>C299</f>
        <v>0.17893440000000002</v>
      </c>
      <c r="D308" s="29">
        <f>D299</f>
        <v>232.79365440000004</v>
      </c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1" hidden="1" customHeight="1">
      <c r="A309" s="41" t="s">
        <v>136</v>
      </c>
      <c r="B309" s="20" t="s">
        <v>60</v>
      </c>
      <c r="C309" s="39"/>
      <c r="D309" s="2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1" hidden="1" customHeight="1">
      <c r="A310" s="8" t="s">
        <v>80</v>
      </c>
      <c r="B310" s="8"/>
      <c r="C310" s="39">
        <f>SUM(C304:C309)</f>
        <v>0.81919710000000023</v>
      </c>
      <c r="D310" s="29">
        <f>SUM(D304:D309)</f>
        <v>1223.6193905309999</v>
      </c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1" hidden="1" customHeight="1">
      <c r="A311" s="15"/>
      <c r="B311" s="15"/>
      <c r="C311" s="15"/>
      <c r="D311" s="42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1" hidden="1" customHeight="1">
      <c r="A312" s="23" t="s">
        <v>137</v>
      </c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1" hidden="1" customHeight="1">
      <c r="A313" s="2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1" hidden="1" customHeight="1">
      <c r="A314" s="10" t="s">
        <v>138</v>
      </c>
      <c r="B314" s="10"/>
      <c r="C314" s="18" t="s">
        <v>85</v>
      </c>
      <c r="D314" s="18" t="s">
        <v>48</v>
      </c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1" hidden="1" customHeight="1">
      <c r="A315" s="19" t="s">
        <v>24</v>
      </c>
      <c r="B315" s="20" t="s">
        <v>139</v>
      </c>
      <c r="C315" s="39">
        <v>0.03</v>
      </c>
      <c r="D315" s="22">
        <f>C315*C338</f>
        <v>95.990927715929999</v>
      </c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1" hidden="1" customHeight="1">
      <c r="A316" s="19" t="s">
        <v>26</v>
      </c>
      <c r="B316" s="7" t="s">
        <v>140</v>
      </c>
      <c r="C316" s="7"/>
      <c r="D316" s="7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1" hidden="1" customHeight="1">
      <c r="A317" s="19"/>
      <c r="B317" s="20" t="s">
        <v>141</v>
      </c>
      <c r="C317" s="39">
        <v>6.4999999999999997E-3</v>
      </c>
      <c r="D317" s="22">
        <f>(($C$338+$D$315+$D$324)/(1-$C$323))*C317</f>
        <v>25.042723039007473</v>
      </c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1" hidden="1" customHeight="1">
      <c r="A318" s="19"/>
      <c r="B318" s="20" t="s">
        <v>142</v>
      </c>
      <c r="C318" s="39">
        <v>0.03</v>
      </c>
      <c r="D318" s="22">
        <f>(($C$338+$D$315+$D$324)/(1-$C$323))*C318</f>
        <v>115.58179864157295</v>
      </c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1" hidden="1" customHeight="1">
      <c r="A319" s="19"/>
      <c r="B319" s="20" t="s">
        <v>143</v>
      </c>
      <c r="C319" s="39">
        <v>0</v>
      </c>
      <c r="D319" s="22">
        <f>(($C$338+$D$315+$D$324)/(1-$C$323))*C319</f>
        <v>0</v>
      </c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1" hidden="1" customHeight="1">
      <c r="A320" s="19"/>
      <c r="B320" s="7" t="s">
        <v>144</v>
      </c>
      <c r="C320" s="7"/>
      <c r="D320" s="7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1" hidden="1" customHeight="1">
      <c r="A321" s="19"/>
      <c r="B321" s="7" t="s">
        <v>145</v>
      </c>
      <c r="C321" s="7"/>
      <c r="D321" s="7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1" hidden="1" customHeight="1">
      <c r="A322" s="19"/>
      <c r="B322" s="20" t="s">
        <v>146</v>
      </c>
      <c r="C322" s="39">
        <v>0.05</v>
      </c>
      <c r="D322" s="22">
        <f>(($C$338+$D$315+$D$324)/(1-$C$323))*C322</f>
        <v>192.63633106928827</v>
      </c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1" hidden="1" customHeight="1">
      <c r="A323" s="19"/>
      <c r="B323" s="20" t="s">
        <v>147</v>
      </c>
      <c r="C323" s="39">
        <f>SUM(C317:C322)</f>
        <v>8.6499999999999994E-2</v>
      </c>
      <c r="D323" s="22">
        <f>(($C$338+$D$315+$D$324)/(1-$C$323))*C323</f>
        <v>333.26085274986866</v>
      </c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1" hidden="1" customHeight="1">
      <c r="A324" s="19" t="s">
        <v>29</v>
      </c>
      <c r="B324" s="20" t="s">
        <v>148</v>
      </c>
      <c r="C324" s="39">
        <v>6.7900000000000002E-2</v>
      </c>
      <c r="D324" s="22">
        <f>C324*(C338+D315)</f>
        <v>223.77725038896656</v>
      </c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1" hidden="1" customHeight="1">
      <c r="A325" s="6" t="s">
        <v>80</v>
      </c>
      <c r="B325" s="6"/>
      <c r="C325" s="44">
        <f>SUM(C315,C323,C324)</f>
        <v>0.18440000000000001</v>
      </c>
      <c r="D325" s="45">
        <f>SUM(D315,D323,D324)</f>
        <v>653.02903085476521</v>
      </c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77.25" hidden="1" customHeight="1">
      <c r="A326" s="56" t="s">
        <v>149</v>
      </c>
      <c r="B326" s="5" t="s">
        <v>150</v>
      </c>
      <c r="C326" s="4" t="s">
        <v>151</v>
      </c>
      <c r="D326" s="4"/>
      <c r="E326" s="57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77.25" hidden="1" customHeight="1">
      <c r="A327" s="56" t="s">
        <v>152</v>
      </c>
      <c r="B327" s="5"/>
      <c r="C327" s="4"/>
      <c r="D327" s="4"/>
      <c r="E327" s="57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77.25" hidden="1" customHeight="1">
      <c r="A328" s="56" t="s">
        <v>153</v>
      </c>
      <c r="B328" s="5"/>
      <c r="C328" s="4"/>
      <c r="D328" s="4"/>
      <c r="E328" s="57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1" hidden="1" customHeight="1">
      <c r="A329" s="47"/>
      <c r="B329" s="36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1" hidden="1" customHeight="1">
      <c r="A330" s="47"/>
      <c r="B330" s="36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1" hidden="1" customHeight="1">
      <c r="A331" s="47"/>
      <c r="B331" s="36" t="s">
        <v>154</v>
      </c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1" hidden="1" customHeight="1">
      <c r="A332" s="2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1" hidden="1" customHeight="1">
      <c r="A333" s="10" t="s">
        <v>155</v>
      </c>
      <c r="B333" s="10"/>
      <c r="C333" s="18" t="s">
        <v>48</v>
      </c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1" hidden="1" customHeight="1">
      <c r="A334" s="19" t="s">
        <v>24</v>
      </c>
      <c r="B334" s="20" t="s">
        <v>46</v>
      </c>
      <c r="C334" s="22">
        <f>C217</f>
        <v>1547.53</v>
      </c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1" hidden="1" customHeight="1">
      <c r="A335" s="19" t="s">
        <v>26</v>
      </c>
      <c r="B335" s="20" t="s">
        <v>63</v>
      </c>
      <c r="C335" s="22">
        <f>C230</f>
        <v>428.54820000000007</v>
      </c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1" hidden="1" customHeight="1">
      <c r="A336" s="19" t="s">
        <v>29</v>
      </c>
      <c r="B336" s="20" t="s">
        <v>156</v>
      </c>
      <c r="C336" s="22">
        <f>C240</f>
        <v>0</v>
      </c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1" hidden="1" customHeight="1">
      <c r="A337" s="19" t="s">
        <v>31</v>
      </c>
      <c r="B337" s="20" t="s">
        <v>157</v>
      </c>
      <c r="C337" s="22">
        <f>D310</f>
        <v>1223.6193905309999</v>
      </c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1" hidden="1" customHeight="1">
      <c r="A338" s="21"/>
      <c r="B338" s="40" t="s">
        <v>158</v>
      </c>
      <c r="C338" s="22">
        <f>SUM(C334:C337)</f>
        <v>3199.6975905310001</v>
      </c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1" hidden="1" customHeight="1">
      <c r="A339" s="19" t="s">
        <v>53</v>
      </c>
      <c r="B339" s="20" t="s">
        <v>137</v>
      </c>
      <c r="C339" s="22">
        <f>D325</f>
        <v>653.02903085476521</v>
      </c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1" hidden="1" customHeight="1">
      <c r="A340" s="8" t="s">
        <v>159</v>
      </c>
      <c r="B340" s="8"/>
      <c r="C340" s="58">
        <f>C338+C339</f>
        <v>3852.7266213857652</v>
      </c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</sheetData>
  <mergeCells count="76">
    <mergeCell ref="A340:B340"/>
    <mergeCell ref="B321:D321"/>
    <mergeCell ref="A325:B325"/>
    <mergeCell ref="B326:B328"/>
    <mergeCell ref="C326:D328"/>
    <mergeCell ref="A333:B333"/>
    <mergeCell ref="A303:B303"/>
    <mergeCell ref="A310:B310"/>
    <mergeCell ref="A314:B314"/>
    <mergeCell ref="B316:D316"/>
    <mergeCell ref="B320:D320"/>
    <mergeCell ref="A275:B275"/>
    <mergeCell ref="A279:B279"/>
    <mergeCell ref="A286:B286"/>
    <mergeCell ref="A290:B290"/>
    <mergeCell ref="A299:B299"/>
    <mergeCell ref="A247:B247"/>
    <mergeCell ref="A256:B256"/>
    <mergeCell ref="A262:B262"/>
    <mergeCell ref="A268:B268"/>
    <mergeCell ref="A272:B272"/>
    <mergeCell ref="A217:B217"/>
    <mergeCell ref="A222:B222"/>
    <mergeCell ref="A230:B230"/>
    <mergeCell ref="A235:B235"/>
    <mergeCell ref="A240:B240"/>
    <mergeCell ref="A178:C178"/>
    <mergeCell ref="B181:C181"/>
    <mergeCell ref="A182:C182"/>
    <mergeCell ref="A200:C200"/>
    <mergeCell ref="A208:B208"/>
    <mergeCell ref="A162:B162"/>
    <mergeCell ref="A169:B169"/>
    <mergeCell ref="A173:C173"/>
    <mergeCell ref="A175:C175"/>
    <mergeCell ref="A176:C176"/>
    <mergeCell ref="B150:D150"/>
    <mergeCell ref="A154:B154"/>
    <mergeCell ref="B155:B157"/>
    <mergeCell ref="C155:D157"/>
    <mergeCell ref="D159:E159"/>
    <mergeCell ref="A139:B139"/>
    <mergeCell ref="A141:B141"/>
    <mergeCell ref="A143:B143"/>
    <mergeCell ref="B145:D145"/>
    <mergeCell ref="B149:D149"/>
    <mergeCell ref="A108:B108"/>
    <mergeCell ref="A115:B115"/>
    <mergeCell ref="A119:B119"/>
    <mergeCell ref="A128:B128"/>
    <mergeCell ref="A132:B132"/>
    <mergeCell ref="A97:B97"/>
    <mergeCell ref="A99:B99"/>
    <mergeCell ref="A101:B101"/>
    <mergeCell ref="A104:B104"/>
    <mergeCell ref="A106:B106"/>
    <mergeCell ref="A74:B74"/>
    <mergeCell ref="A76:B76"/>
    <mergeCell ref="A85:B85"/>
    <mergeCell ref="A89:B89"/>
    <mergeCell ref="A91:B91"/>
    <mergeCell ref="A49:B49"/>
    <mergeCell ref="A51:B51"/>
    <mergeCell ref="A59:B59"/>
    <mergeCell ref="A64:B64"/>
    <mergeCell ref="A69:B69"/>
    <mergeCell ref="A10:C10"/>
    <mergeCell ref="A29:C29"/>
    <mergeCell ref="A35:B35"/>
    <mergeCell ref="A37:B37"/>
    <mergeCell ref="A46:B46"/>
    <mergeCell ref="A1:C1"/>
    <mergeCell ref="A3:C3"/>
    <mergeCell ref="A4:C4"/>
    <mergeCell ref="A6:C6"/>
    <mergeCell ref="B9:C9"/>
  </mergeCells>
  <pageMargins left="0.78749999999999998" right="0.39374999999999999" top="0.59027777777777801" bottom="0.39374999999999999" header="0.51180555555555496" footer="0"/>
  <pageSetup paperSize="9" firstPageNumber="0" fitToHeight="0" orientation="portrait" horizontalDpi="300" verticalDpi="300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showGridLines="0" topLeftCell="A173" workbookViewId="0">
      <selection activeCell="A173" sqref="A173"/>
    </sheetView>
  </sheetViews>
  <sheetFormatPr defaultRowHeight="15"/>
  <cols>
    <col min="1" max="1" width="58.140625"/>
    <col min="2" max="2" width="85.5703125"/>
    <col min="3" max="3" width="43.7109375"/>
    <col min="4" max="4" width="15.140625"/>
    <col min="5" max="5" width="18.5703125"/>
    <col min="6" max="6" width="27.42578125"/>
    <col min="7" max="25" width="14"/>
  </cols>
  <sheetData>
    <row r="1" spans="1:26" ht="33.75" hidden="1">
      <c r="A1" s="14" t="s">
        <v>169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57"/>
      <c r="Y1" s="57"/>
      <c r="Z1" s="57"/>
    </row>
    <row r="2" spans="1:26" ht="21" hidden="1" customHeight="1">
      <c r="A2" s="16"/>
      <c r="B2" s="16" t="s">
        <v>1</v>
      </c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57"/>
      <c r="Y2" s="57"/>
      <c r="Z2" s="57"/>
    </row>
    <row r="3" spans="1:26" ht="21" hidden="1" customHeight="1">
      <c r="A3" s="13" t="s">
        <v>2</v>
      </c>
      <c r="B3" s="13"/>
      <c r="C3" s="13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57"/>
      <c r="Y3" s="57"/>
      <c r="Z3" s="57"/>
    </row>
    <row r="4" spans="1:26" ht="21" hidden="1" customHeight="1">
      <c r="A4" s="13" t="s">
        <v>3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57"/>
      <c r="Y4" s="57"/>
      <c r="Z4" s="57"/>
    </row>
    <row r="5" spans="1:26" ht="21" hidden="1" customHeight="1">
      <c r="A5" s="17" t="s">
        <v>4</v>
      </c>
      <c r="B5" s="17" t="s">
        <v>5</v>
      </c>
      <c r="C5" s="17" t="s">
        <v>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57"/>
      <c r="Y5" s="57"/>
      <c r="Z5" s="57"/>
    </row>
    <row r="6" spans="1:26" ht="21" hidden="1" customHeight="1">
      <c r="A6" s="13" t="s">
        <v>7</v>
      </c>
      <c r="B6" s="13"/>
      <c r="C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57"/>
      <c r="Y6" s="57"/>
      <c r="Z6" s="57"/>
    </row>
    <row r="7" spans="1:26" ht="21" hidden="1" customHeight="1">
      <c r="A7" s="17" t="s">
        <v>8</v>
      </c>
      <c r="B7" s="17" t="s">
        <v>9</v>
      </c>
      <c r="C7" s="17" t="s">
        <v>10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57"/>
      <c r="Y7" s="57"/>
      <c r="Z7" s="57"/>
    </row>
    <row r="8" spans="1:26" ht="21" hidden="1" customHeight="1">
      <c r="A8" s="17" t="s">
        <v>11</v>
      </c>
      <c r="B8" s="17" t="s">
        <v>12</v>
      </c>
      <c r="C8" s="17" t="s">
        <v>13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57"/>
      <c r="Y8" s="57"/>
      <c r="Z8" s="57"/>
    </row>
    <row r="9" spans="1:26" ht="21" hidden="1" customHeight="1">
      <c r="A9" s="17" t="s">
        <v>14</v>
      </c>
      <c r="B9" s="13" t="s">
        <v>15</v>
      </c>
      <c r="C9" s="1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57"/>
      <c r="Y9" s="57"/>
      <c r="Z9" s="57"/>
    </row>
    <row r="10" spans="1:26" ht="21" hidden="1" customHeight="1">
      <c r="A10" s="13" t="s">
        <v>16</v>
      </c>
      <c r="B10" s="13"/>
      <c r="C10" s="1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57"/>
      <c r="Y10" s="57"/>
      <c r="Z10" s="57"/>
    </row>
    <row r="11" spans="1:26" ht="21" hidden="1" customHeight="1">
      <c r="A11" s="17" t="s">
        <v>17</v>
      </c>
      <c r="B11" s="17" t="s">
        <v>18</v>
      </c>
      <c r="C11" s="17" t="s">
        <v>19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57"/>
      <c r="Y11" s="57"/>
      <c r="Z11" s="57"/>
    </row>
    <row r="12" spans="1:26" ht="21" hidden="1" customHeight="1">
      <c r="A12" s="17" t="s">
        <v>20</v>
      </c>
      <c r="B12" s="17" t="s">
        <v>21</v>
      </c>
      <c r="C12" s="17" t="s">
        <v>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57"/>
      <c r="Y12" s="57"/>
      <c r="Z12" s="57"/>
    </row>
    <row r="13" spans="1:26" ht="21" hidden="1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57"/>
      <c r="Y13" s="57"/>
      <c r="Z13" s="57"/>
    </row>
    <row r="14" spans="1:26" ht="21" hidden="1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57"/>
      <c r="Y14" s="57"/>
      <c r="Z14" s="57"/>
    </row>
    <row r="15" spans="1:26" ht="21" hidden="1" customHeight="1">
      <c r="A15" s="18"/>
      <c r="B15" s="18" t="s">
        <v>23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57"/>
      <c r="Y15" s="57"/>
      <c r="Z15" s="57"/>
    </row>
    <row r="16" spans="1:26" ht="21" hidden="1" customHeight="1">
      <c r="A16" s="19" t="s">
        <v>24</v>
      </c>
      <c r="B16" s="20" t="s">
        <v>25</v>
      </c>
      <c r="C16" s="21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57"/>
      <c r="Y16" s="57"/>
      <c r="Z16" s="57"/>
    </row>
    <row r="17" spans="1:26" ht="21" hidden="1" customHeight="1">
      <c r="A17" s="19" t="s">
        <v>26</v>
      </c>
      <c r="B17" s="20" t="s">
        <v>27</v>
      </c>
      <c r="C17" s="21" t="s">
        <v>28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57"/>
      <c r="Y17" s="57"/>
      <c r="Z17" s="57"/>
    </row>
    <row r="18" spans="1:26" ht="21" hidden="1" customHeight="1">
      <c r="A18" s="19" t="s">
        <v>29</v>
      </c>
      <c r="B18" s="20" t="s">
        <v>30</v>
      </c>
      <c r="C18" s="21" t="s">
        <v>161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57"/>
      <c r="Y18" s="57"/>
      <c r="Z18" s="57"/>
    </row>
    <row r="19" spans="1:26" ht="21" hidden="1" customHeight="1">
      <c r="A19" s="19" t="s">
        <v>31</v>
      </c>
      <c r="B19" s="20" t="s">
        <v>32</v>
      </c>
      <c r="C19" s="21" t="s">
        <v>163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57"/>
      <c r="Y19" s="57"/>
      <c r="Z19" s="57"/>
    </row>
    <row r="20" spans="1:26" ht="21" hidden="1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57"/>
      <c r="Y20" s="57"/>
      <c r="Z20" s="57"/>
    </row>
    <row r="21" spans="1:26" ht="21" hidden="1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57"/>
      <c r="Y21" s="57"/>
      <c r="Z21" s="57"/>
    </row>
    <row r="22" spans="1:26" ht="21" hidden="1" customHeight="1">
      <c r="A22" s="18" t="s">
        <v>34</v>
      </c>
      <c r="B22" s="18" t="s">
        <v>35</v>
      </c>
      <c r="C22" s="18" t="s">
        <v>36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57"/>
      <c r="Y22" s="57"/>
      <c r="Z22" s="57"/>
    </row>
    <row r="23" spans="1:26" ht="21" hidden="1" customHeight="1">
      <c r="A23" s="21" t="s">
        <v>37</v>
      </c>
      <c r="B23" s="21" t="s">
        <v>38</v>
      </c>
      <c r="C23" s="22">
        <v>166990.65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57"/>
      <c r="Y23" s="57"/>
      <c r="Z23" s="57"/>
    </row>
    <row r="24" spans="1:26" ht="21" hidden="1" customHeight="1">
      <c r="A24" s="20"/>
      <c r="B24" s="20"/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57"/>
      <c r="Y24" s="57"/>
      <c r="Z24" s="57"/>
    </row>
    <row r="25" spans="1:26" ht="21" hidden="1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57"/>
      <c r="Y25" s="57"/>
      <c r="Z25" s="57"/>
    </row>
    <row r="26" spans="1:26" ht="21" hidden="1" customHeight="1">
      <c r="A26" s="15"/>
      <c r="B26" s="23" t="s">
        <v>39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57"/>
      <c r="Y26" s="57"/>
      <c r="Z26" s="57"/>
    </row>
    <row r="27" spans="1:26" ht="21" hidden="1" customHeight="1">
      <c r="A27" s="15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57"/>
      <c r="Y27" s="57"/>
      <c r="Z27" s="57"/>
    </row>
    <row r="28" spans="1:26" ht="21" hidden="1" customHeight="1">
      <c r="A28" s="2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57"/>
      <c r="Y28" s="57"/>
      <c r="Z28" s="57"/>
    </row>
    <row r="29" spans="1:26" ht="21" hidden="1" customHeight="1">
      <c r="A29" s="12" t="s">
        <v>40</v>
      </c>
      <c r="B29" s="12"/>
      <c r="C29" s="12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57"/>
      <c r="Y29" s="57"/>
      <c r="Z29" s="57"/>
    </row>
    <row r="30" spans="1:26" ht="21" hidden="1" customHeight="1">
      <c r="A30" s="19">
        <v>1</v>
      </c>
      <c r="B30" s="25" t="s">
        <v>41</v>
      </c>
      <c r="C30" s="21" t="s">
        <v>37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57"/>
      <c r="Y30" s="57"/>
      <c r="Z30" s="57"/>
    </row>
    <row r="31" spans="1:26" ht="21" hidden="1" customHeight="1">
      <c r="A31" s="19">
        <v>2</v>
      </c>
      <c r="B31" s="25" t="s">
        <v>42</v>
      </c>
      <c r="C31" s="22">
        <v>1096.77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57"/>
      <c r="Y31" s="57"/>
      <c r="Z31" s="57"/>
    </row>
    <row r="32" spans="1:26" ht="21" hidden="1" customHeight="1">
      <c r="A32" s="19">
        <v>3</v>
      </c>
      <c r="B32" s="25" t="s">
        <v>43</v>
      </c>
      <c r="C32" s="26" t="s">
        <v>44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57"/>
      <c r="Y32" s="57"/>
      <c r="Z32" s="57"/>
    </row>
    <row r="33" spans="1:26" ht="21" hidden="1" customHeight="1">
      <c r="A33" s="19">
        <v>4</v>
      </c>
      <c r="B33" s="25" t="s">
        <v>45</v>
      </c>
      <c r="C33" s="27">
        <v>44256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57"/>
      <c r="Y33" s="57"/>
      <c r="Z33" s="57"/>
    </row>
    <row r="34" spans="1:26" ht="21" hidden="1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57"/>
      <c r="Y34" s="57"/>
      <c r="Z34" s="57"/>
    </row>
    <row r="35" spans="1:26" ht="21" hidden="1" customHeight="1">
      <c r="A35" s="23" t="s">
        <v>46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57"/>
      <c r="Y35" s="57"/>
      <c r="Z35" s="57"/>
    </row>
    <row r="36" spans="1:26" ht="21" hidden="1" customHeight="1">
      <c r="A36" s="2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57"/>
      <c r="Y36" s="57"/>
      <c r="Z36" s="57"/>
    </row>
    <row r="37" spans="1:26" ht="21" hidden="1" customHeight="1">
      <c r="A37" s="10" t="s">
        <v>47</v>
      </c>
      <c r="B37" s="10"/>
      <c r="C37" s="18" t="s">
        <v>48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57"/>
      <c r="Y37" s="57"/>
      <c r="Z37" s="57"/>
    </row>
    <row r="38" spans="1:26" ht="21" hidden="1" customHeight="1">
      <c r="A38" s="19" t="s">
        <v>24</v>
      </c>
      <c r="B38" s="20" t="s">
        <v>49</v>
      </c>
      <c r="C38" s="22">
        <f>C31</f>
        <v>1096.77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57"/>
      <c r="Y38" s="57"/>
      <c r="Z38" s="57"/>
    </row>
    <row r="39" spans="1:26" ht="21" hidden="1" customHeight="1">
      <c r="A39" s="19" t="s">
        <v>26</v>
      </c>
      <c r="B39" s="20" t="s">
        <v>50</v>
      </c>
      <c r="C39" s="2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57"/>
      <c r="Y39" s="57"/>
      <c r="Z39" s="57"/>
    </row>
    <row r="40" spans="1:26" ht="21" hidden="1" customHeight="1">
      <c r="A40" s="19" t="s">
        <v>29</v>
      </c>
      <c r="B40" s="20" t="s">
        <v>51</v>
      </c>
      <c r="C40" s="22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57"/>
      <c r="Z40" s="57"/>
    </row>
    <row r="41" spans="1:26" ht="21" hidden="1" customHeight="1">
      <c r="A41" s="19" t="s">
        <v>31</v>
      </c>
      <c r="B41" s="20" t="s">
        <v>52</v>
      </c>
      <c r="C41" s="22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57"/>
      <c r="Z41" s="57"/>
    </row>
    <row r="42" spans="1:26" ht="21" hidden="1" customHeight="1">
      <c r="A42" s="19" t="s">
        <v>53</v>
      </c>
      <c r="B42" s="20" t="s">
        <v>54</v>
      </c>
      <c r="C42" s="22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57"/>
      <c r="Z42" s="57"/>
    </row>
    <row r="43" spans="1:26" ht="21" hidden="1" customHeight="1">
      <c r="A43" s="19" t="s">
        <v>55</v>
      </c>
      <c r="B43" s="20" t="s">
        <v>56</v>
      </c>
      <c r="C43" s="22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57"/>
      <c r="Z43" s="57"/>
    </row>
    <row r="44" spans="1:26" ht="21" hidden="1" customHeight="1">
      <c r="A44" s="19" t="s">
        <v>57</v>
      </c>
      <c r="B44" s="20" t="s">
        <v>58</v>
      </c>
      <c r="C44" s="22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57"/>
      <c r="Z44" s="57"/>
    </row>
    <row r="45" spans="1:26" ht="21" hidden="1" customHeight="1">
      <c r="A45" s="19" t="s">
        <v>59</v>
      </c>
      <c r="B45" s="20" t="s">
        <v>60</v>
      </c>
      <c r="C45" s="22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57"/>
      <c r="Z45" s="57"/>
    </row>
    <row r="46" spans="1:26" ht="21" hidden="1" customHeight="1">
      <c r="A46" s="9" t="s">
        <v>61</v>
      </c>
      <c r="B46" s="9"/>
      <c r="C46" s="22">
        <f>SUM(C38:C45)</f>
        <v>1096.77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57"/>
      <c r="Z46" s="57"/>
    </row>
    <row r="47" spans="1:26" ht="21" hidden="1" customHeight="1">
      <c r="A47" s="28" t="s">
        <v>62</v>
      </c>
      <c r="B47" s="2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57"/>
      <c r="Z47" s="57"/>
    </row>
    <row r="48" spans="1:26" ht="21" hidden="1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57"/>
      <c r="Z48" s="57"/>
    </row>
    <row r="49" spans="1:26" ht="21" hidden="1" customHeight="1">
      <c r="A49" s="23" t="s">
        <v>63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57"/>
      <c r="Z49" s="57"/>
    </row>
    <row r="50" spans="1:26" ht="21" hidden="1" customHeight="1">
      <c r="A50" s="2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57"/>
      <c r="Z50" s="57"/>
    </row>
    <row r="51" spans="1:26" ht="21" hidden="1" customHeight="1">
      <c r="A51" s="10" t="s">
        <v>64</v>
      </c>
      <c r="B51" s="10"/>
      <c r="C51" s="18" t="s">
        <v>48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57"/>
      <c r="Z51" s="57"/>
    </row>
    <row r="52" spans="1:26" ht="21" hidden="1" customHeight="1">
      <c r="A52" s="19" t="s">
        <v>24</v>
      </c>
      <c r="B52" s="20" t="s">
        <v>65</v>
      </c>
      <c r="C52" s="29">
        <f>2*3.75*22 - 0.06*C46</f>
        <v>99.19380000000001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57"/>
      <c r="Z52" s="57"/>
    </row>
    <row r="53" spans="1:26" ht="21" hidden="1" customHeight="1">
      <c r="A53" s="19" t="s">
        <v>26</v>
      </c>
      <c r="B53" s="20" t="s">
        <v>66</v>
      </c>
      <c r="C53" s="29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57"/>
      <c r="Z53" s="57"/>
    </row>
    <row r="54" spans="1:26" ht="21" hidden="1" customHeight="1">
      <c r="A54" s="19" t="s">
        <v>29</v>
      </c>
      <c r="B54" s="20" t="s">
        <v>67</v>
      </c>
      <c r="C54" s="29"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57"/>
      <c r="Z54" s="57"/>
    </row>
    <row r="55" spans="1:26" ht="21" hidden="1" customHeight="1">
      <c r="A55" s="19" t="s">
        <v>31</v>
      </c>
      <c r="B55" s="20" t="s">
        <v>68</v>
      </c>
      <c r="C55" s="29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57"/>
      <c r="Z55" s="57"/>
    </row>
    <row r="56" spans="1:26" ht="21" hidden="1" customHeight="1">
      <c r="A56" s="19" t="s">
        <v>53</v>
      </c>
      <c r="B56" s="20" t="s">
        <v>69</v>
      </c>
      <c r="C56" s="29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57"/>
      <c r="Z56" s="57"/>
    </row>
    <row r="57" spans="1:26" ht="21" hidden="1" customHeight="1">
      <c r="A57" s="19" t="s">
        <v>55</v>
      </c>
      <c r="B57" s="20" t="s">
        <v>70</v>
      </c>
      <c r="C57" s="29">
        <v>0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57"/>
      <c r="Z57" s="57"/>
    </row>
    <row r="58" spans="1:26" ht="21" hidden="1" customHeight="1">
      <c r="A58" s="19" t="s">
        <v>57</v>
      </c>
      <c r="B58" s="30" t="s">
        <v>60</v>
      </c>
      <c r="C58" s="29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57"/>
      <c r="Z58" s="57"/>
    </row>
    <row r="59" spans="1:26" ht="21" hidden="1" customHeight="1">
      <c r="A59" s="9" t="s">
        <v>72</v>
      </c>
      <c r="B59" s="9"/>
      <c r="C59" s="29">
        <f>SUM(C52:C58)</f>
        <v>99.19380000000001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57"/>
      <c r="Z59" s="57"/>
    </row>
    <row r="60" spans="1:26" ht="21" hidden="1" customHeight="1">
      <c r="A60" s="31" t="s">
        <v>73</v>
      </c>
      <c r="B60" s="32" t="s">
        <v>74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57"/>
      <c r="Z60" s="57"/>
    </row>
    <row r="61" spans="1:26" ht="21" hidden="1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57"/>
      <c r="Z61" s="57"/>
    </row>
    <row r="62" spans="1:26" ht="21" hidden="1" customHeight="1">
      <c r="A62" s="23" t="s">
        <v>75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57"/>
      <c r="Z62" s="57"/>
    </row>
    <row r="63" spans="1:26" ht="21" hidden="1" customHeight="1">
      <c r="A63" s="2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57"/>
      <c r="Z63" s="57"/>
    </row>
    <row r="64" spans="1:26" ht="21" hidden="1" customHeight="1">
      <c r="A64" s="10" t="s">
        <v>76</v>
      </c>
      <c r="B64" s="10"/>
      <c r="C64" s="18" t="s">
        <v>48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57"/>
      <c r="Z64" s="57"/>
    </row>
    <row r="65" spans="1:26" ht="21" hidden="1" customHeight="1">
      <c r="A65" s="33" t="s">
        <v>24</v>
      </c>
      <c r="B65" s="28" t="s">
        <v>166</v>
      </c>
      <c r="C65" s="34">
        <v>0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57"/>
      <c r="Z65" s="57"/>
    </row>
    <row r="66" spans="1:26" ht="21" hidden="1" customHeight="1">
      <c r="A66" s="19" t="s">
        <v>26</v>
      </c>
      <c r="B66" s="35" t="s">
        <v>78</v>
      </c>
      <c r="C66" s="29"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57"/>
      <c r="Z66" s="57"/>
    </row>
    <row r="67" spans="1:26" ht="21" hidden="1" customHeight="1">
      <c r="A67" s="19" t="s">
        <v>29</v>
      </c>
      <c r="B67" s="20" t="s">
        <v>79</v>
      </c>
      <c r="C67" s="29"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57"/>
      <c r="Z67" s="57"/>
    </row>
    <row r="68" spans="1:26" ht="21" hidden="1" customHeight="1">
      <c r="A68" s="19" t="s">
        <v>31</v>
      </c>
      <c r="B68" s="20" t="s">
        <v>60</v>
      </c>
      <c r="C68" s="29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57"/>
      <c r="Z68" s="57"/>
    </row>
    <row r="69" spans="1:26" ht="21" hidden="1" customHeight="1">
      <c r="A69" s="8" t="s">
        <v>80</v>
      </c>
      <c r="B69" s="8"/>
      <c r="C69" s="29">
        <f>SUM(C65:C68)</f>
        <v>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57"/>
      <c r="Z69" s="57"/>
    </row>
    <row r="70" spans="1:26" ht="21" hidden="1" customHeight="1">
      <c r="A70" s="17" t="s">
        <v>81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57"/>
      <c r="Z70" s="57"/>
    </row>
    <row r="71" spans="1:26" ht="21" hidden="1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57"/>
      <c r="Z71" s="57"/>
    </row>
    <row r="72" spans="1:26" ht="21" hidden="1" customHeight="1">
      <c r="A72" s="36" t="s">
        <v>82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57"/>
      <c r="Z72" s="57"/>
    </row>
    <row r="73" spans="1:26" ht="21" hidden="1" customHeight="1">
      <c r="A73" s="37"/>
      <c r="B73" s="38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57"/>
      <c r="Z73" s="57"/>
    </row>
    <row r="74" spans="1:26" ht="21" hidden="1" customHeight="1">
      <c r="A74" s="23" t="s">
        <v>83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57"/>
      <c r="Z74" s="57"/>
    </row>
    <row r="75" spans="1:26" ht="21" hidden="1" customHeight="1">
      <c r="A75" s="2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57"/>
      <c r="Z75" s="57"/>
    </row>
    <row r="76" spans="1:26" ht="21" hidden="1" customHeight="1">
      <c r="A76" s="10" t="s">
        <v>84</v>
      </c>
      <c r="B76" s="10"/>
      <c r="C76" s="18" t="s">
        <v>85</v>
      </c>
      <c r="D76" s="18" t="s">
        <v>48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57"/>
      <c r="Z76" s="57"/>
    </row>
    <row r="77" spans="1:26" ht="21" hidden="1" customHeight="1">
      <c r="A77" s="19" t="s">
        <v>24</v>
      </c>
      <c r="B77" s="20" t="s">
        <v>86</v>
      </c>
      <c r="C77" s="39">
        <v>0.2</v>
      </c>
      <c r="D77" s="29">
        <f t="shared" ref="D77:D84" si="0">C77*$C$46</f>
        <v>219.35400000000001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57"/>
      <c r="Z77" s="57"/>
    </row>
    <row r="78" spans="1:26" ht="21" hidden="1" customHeight="1">
      <c r="A78" s="19" t="s">
        <v>26</v>
      </c>
      <c r="B78" s="20" t="s">
        <v>87</v>
      </c>
      <c r="C78" s="39">
        <v>1.4999999999999999E-2</v>
      </c>
      <c r="D78" s="29">
        <f t="shared" si="0"/>
        <v>16.451549999999997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57"/>
      <c r="Z78" s="57"/>
    </row>
    <row r="79" spans="1:26" ht="21" hidden="1" customHeight="1">
      <c r="A79" s="19" t="s">
        <v>29</v>
      </c>
      <c r="B79" s="20" t="s">
        <v>88</v>
      </c>
      <c r="C79" s="39">
        <v>0.01</v>
      </c>
      <c r="D79" s="29">
        <f t="shared" si="0"/>
        <v>10.967700000000001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57"/>
      <c r="Z79" s="57"/>
    </row>
    <row r="80" spans="1:26" ht="21" hidden="1" customHeight="1">
      <c r="A80" s="19" t="s">
        <v>31</v>
      </c>
      <c r="B80" s="20" t="s">
        <v>89</v>
      </c>
      <c r="C80" s="39">
        <v>2E-3</v>
      </c>
      <c r="D80" s="29">
        <f t="shared" si="0"/>
        <v>2.19354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57"/>
      <c r="Z80" s="57"/>
    </row>
    <row r="81" spans="1:26" ht="21" hidden="1" customHeight="1">
      <c r="A81" s="19" t="s">
        <v>53</v>
      </c>
      <c r="B81" s="20" t="s">
        <v>90</v>
      </c>
      <c r="C81" s="39">
        <v>2.5000000000000001E-2</v>
      </c>
      <c r="D81" s="29">
        <f t="shared" si="0"/>
        <v>27.419250000000002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57"/>
      <c r="Z81" s="57"/>
    </row>
    <row r="82" spans="1:26" ht="21" hidden="1" customHeight="1">
      <c r="A82" s="19" t="s">
        <v>55</v>
      </c>
      <c r="B82" s="20" t="s">
        <v>91</v>
      </c>
      <c r="C82" s="39">
        <v>0.08</v>
      </c>
      <c r="D82" s="29">
        <f t="shared" si="0"/>
        <v>87.741600000000005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57"/>
      <c r="Z82" s="57"/>
    </row>
    <row r="83" spans="1:26" ht="21" hidden="1" customHeight="1">
      <c r="A83" s="19" t="s">
        <v>57</v>
      </c>
      <c r="B83" s="20" t="s">
        <v>92</v>
      </c>
      <c r="C83" s="39">
        <v>0.03</v>
      </c>
      <c r="D83" s="29">
        <f t="shared" si="0"/>
        <v>32.903099999999995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57"/>
      <c r="Z83" s="57"/>
    </row>
    <row r="84" spans="1:26" ht="21" hidden="1" customHeight="1">
      <c r="A84" s="19" t="s">
        <v>59</v>
      </c>
      <c r="B84" s="20" t="s">
        <v>93</v>
      </c>
      <c r="C84" s="39">
        <v>6.0000000000000001E-3</v>
      </c>
      <c r="D84" s="29">
        <f t="shared" si="0"/>
        <v>6.5806199999999997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57"/>
      <c r="Z84" s="57"/>
    </row>
    <row r="85" spans="1:26" ht="21" hidden="1" customHeight="1">
      <c r="A85" s="8" t="s">
        <v>72</v>
      </c>
      <c r="B85" s="8"/>
      <c r="C85" s="39">
        <f>SUM(C77:C84)</f>
        <v>0.3680000000000001</v>
      </c>
      <c r="D85" s="29">
        <f>SUM(D77:D84)</f>
        <v>403.61136000000005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57"/>
      <c r="Z85" s="57"/>
    </row>
    <row r="86" spans="1:26" ht="21" hidden="1" customHeight="1">
      <c r="A86" s="31" t="s">
        <v>94</v>
      </c>
      <c r="B86" s="32" t="s">
        <v>95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57"/>
      <c r="Z86" s="57"/>
    </row>
    <row r="87" spans="1:26" ht="21" hidden="1" customHeight="1">
      <c r="A87" s="31" t="s">
        <v>96</v>
      </c>
      <c r="B87" s="32" t="s">
        <v>97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57"/>
      <c r="Z87" s="57"/>
    </row>
    <row r="88" spans="1:26" ht="21" hidden="1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57"/>
      <c r="Z88" s="57"/>
    </row>
    <row r="89" spans="1:26" ht="21" hidden="1" customHeight="1">
      <c r="A89" s="23" t="s">
        <v>98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57"/>
      <c r="Z89" s="57"/>
    </row>
    <row r="90" spans="1:26" ht="21" hidden="1" customHeight="1">
      <c r="A90" s="2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57"/>
      <c r="Z90" s="57"/>
    </row>
    <row r="91" spans="1:26" ht="21" hidden="1" customHeight="1">
      <c r="A91" s="10" t="s">
        <v>99</v>
      </c>
      <c r="B91" s="10"/>
      <c r="C91" s="18" t="s">
        <v>85</v>
      </c>
      <c r="D91" s="18" t="s">
        <v>48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57"/>
      <c r="Z91" s="57"/>
    </row>
    <row r="92" spans="1:26" ht="21" hidden="1" customHeight="1">
      <c r="A92" s="19" t="s">
        <v>24</v>
      </c>
      <c r="B92" s="20" t="s">
        <v>100</v>
      </c>
      <c r="C92" s="39">
        <v>8.3299999999999999E-2</v>
      </c>
      <c r="D92" s="29">
        <f t="shared" ref="D92:D97" si="1">C92*$C$46</f>
        <v>91.360940999999997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57"/>
      <c r="Z92" s="57"/>
    </row>
    <row r="93" spans="1:26" ht="21" hidden="1" customHeight="1">
      <c r="A93" s="19" t="s">
        <v>26</v>
      </c>
      <c r="B93" s="20" t="s">
        <v>101</v>
      </c>
      <c r="C93" s="39">
        <v>8.3299999999999999E-2</v>
      </c>
      <c r="D93" s="29">
        <f t="shared" si="1"/>
        <v>91.360940999999997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57"/>
      <c r="Z93" s="57"/>
    </row>
    <row r="94" spans="1:26" ht="21" hidden="1" customHeight="1">
      <c r="A94" s="19" t="s">
        <v>29</v>
      </c>
      <c r="B94" s="20" t="s">
        <v>102</v>
      </c>
      <c r="C94" s="39">
        <v>2.7799999999999998E-2</v>
      </c>
      <c r="D94" s="29">
        <f t="shared" si="1"/>
        <v>30.490205999999997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57"/>
      <c r="Z94" s="57"/>
    </row>
    <row r="95" spans="1:26" ht="21" hidden="1" customHeight="1">
      <c r="A95" s="21"/>
      <c r="B95" s="40" t="s">
        <v>103</v>
      </c>
      <c r="C95" s="39">
        <f>C92+C93+C94</f>
        <v>0.19439999999999999</v>
      </c>
      <c r="D95" s="29">
        <f t="shared" si="1"/>
        <v>213.21208799999999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57"/>
      <c r="Z95" s="57"/>
    </row>
    <row r="96" spans="1:26" ht="21" hidden="1" customHeight="1">
      <c r="A96" s="19" t="s">
        <v>31</v>
      </c>
      <c r="B96" s="20" t="s">
        <v>104</v>
      </c>
      <c r="C96" s="39">
        <f>C85*C95</f>
        <v>7.1539200000000011E-2</v>
      </c>
      <c r="D96" s="29">
        <f t="shared" si="1"/>
        <v>78.462048384000013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57"/>
      <c r="Z96" s="57"/>
    </row>
    <row r="97" spans="1:26" ht="21" hidden="1" customHeight="1">
      <c r="A97" s="8" t="s">
        <v>80</v>
      </c>
      <c r="B97" s="8"/>
      <c r="C97" s="39">
        <f>C95+C96</f>
        <v>0.26593919999999999</v>
      </c>
      <c r="D97" s="29">
        <f t="shared" si="1"/>
        <v>291.67413638400001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57"/>
      <c r="Z97" s="57"/>
    </row>
    <row r="98" spans="1:26" ht="21" hidden="1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57"/>
      <c r="Z98" s="57"/>
    </row>
    <row r="99" spans="1:26" ht="21" hidden="1" customHeight="1">
      <c r="A99" s="23" t="s">
        <v>105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57"/>
      <c r="Z99" s="57"/>
    </row>
    <row r="100" spans="1:26" ht="21" hidden="1" customHeight="1">
      <c r="A100" s="2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57"/>
      <c r="Z100" s="57"/>
    </row>
    <row r="101" spans="1:26" ht="21" hidden="1" customHeight="1">
      <c r="A101" s="10" t="s">
        <v>106</v>
      </c>
      <c r="B101" s="10"/>
      <c r="C101" s="18" t="s">
        <v>85</v>
      </c>
      <c r="D101" s="18" t="s">
        <v>48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57"/>
      <c r="Z101" s="57"/>
    </row>
    <row r="102" spans="1:26" ht="21" hidden="1" customHeight="1">
      <c r="A102" s="19" t="s">
        <v>24</v>
      </c>
      <c r="B102" s="20" t="s">
        <v>107</v>
      </c>
      <c r="C102" s="39">
        <v>6.9999999999999999E-4</v>
      </c>
      <c r="D102" s="29">
        <f>C102*$C$46</f>
        <v>0.76773899999999995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57"/>
      <c r="Z102" s="57"/>
    </row>
    <row r="103" spans="1:26" ht="21" hidden="1" customHeight="1">
      <c r="A103" s="19" t="s">
        <v>26</v>
      </c>
      <c r="B103" s="20" t="s">
        <v>108</v>
      </c>
      <c r="C103" s="39">
        <f>C102*C85</f>
        <v>2.5760000000000008E-4</v>
      </c>
      <c r="D103" s="29">
        <f>C103*$C$46</f>
        <v>0.28252795200000008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57"/>
      <c r="Z103" s="57"/>
    </row>
    <row r="104" spans="1:26" ht="21" hidden="1" customHeight="1">
      <c r="A104" s="8" t="s">
        <v>80</v>
      </c>
      <c r="B104" s="8"/>
      <c r="C104" s="39">
        <f>SUM(C102:C103)</f>
        <v>9.5760000000000007E-4</v>
      </c>
      <c r="D104" s="29">
        <f>SUM(D102:D103)</f>
        <v>1.0502669520000001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57"/>
      <c r="Z104" s="57"/>
    </row>
    <row r="105" spans="1:26" ht="21" hidden="1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57"/>
      <c r="Z105" s="57"/>
    </row>
    <row r="106" spans="1:26" ht="21" hidden="1" customHeight="1">
      <c r="A106" s="23" t="s">
        <v>109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57"/>
      <c r="Z106" s="57"/>
    </row>
    <row r="107" spans="1:26" ht="21" hidden="1" customHeight="1">
      <c r="A107" s="2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57"/>
      <c r="Z107" s="57"/>
    </row>
    <row r="108" spans="1:26" ht="21" hidden="1" customHeight="1">
      <c r="A108" s="10" t="s">
        <v>110</v>
      </c>
      <c r="B108" s="10"/>
      <c r="C108" s="18" t="s">
        <v>85</v>
      </c>
      <c r="D108" s="18" t="s">
        <v>48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57"/>
      <c r="Z108" s="57"/>
    </row>
    <row r="109" spans="1:26" ht="21" hidden="1" customHeight="1">
      <c r="A109" s="19" t="s">
        <v>24</v>
      </c>
      <c r="B109" s="20" t="s">
        <v>111</v>
      </c>
      <c r="C109" s="39">
        <v>4.1999999999999997E-3</v>
      </c>
      <c r="D109" s="29">
        <f t="shared" ref="D109:D114" si="2">C109*$C$46</f>
        <v>4.6064339999999993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57"/>
      <c r="Z109" s="57"/>
    </row>
    <row r="110" spans="1:26" ht="21" hidden="1" customHeight="1">
      <c r="A110" s="19" t="s">
        <v>26</v>
      </c>
      <c r="B110" s="20" t="s">
        <v>112</v>
      </c>
      <c r="C110" s="39">
        <f>0.08*C109</f>
        <v>3.3599999999999998E-4</v>
      </c>
      <c r="D110" s="29">
        <f t="shared" si="2"/>
        <v>0.36851471999999996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57"/>
      <c r="Z110" s="57"/>
    </row>
    <row r="111" spans="1:26" ht="21" hidden="1" customHeight="1">
      <c r="A111" s="19" t="s">
        <v>29</v>
      </c>
      <c r="B111" s="20" t="s">
        <v>113</v>
      </c>
      <c r="C111" s="39">
        <f>0.0435*C109</f>
        <v>1.8269999999999997E-4</v>
      </c>
      <c r="D111" s="29">
        <f t="shared" si="2"/>
        <v>0.20037987899999996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57"/>
      <c r="Z111" s="57"/>
    </row>
    <row r="112" spans="1:26" ht="21" hidden="1" customHeight="1">
      <c r="A112" s="19" t="s">
        <v>31</v>
      </c>
      <c r="B112" s="20" t="s">
        <v>114</v>
      </c>
      <c r="C112" s="39">
        <v>4.0000000000000002E-4</v>
      </c>
      <c r="D112" s="29">
        <f t="shared" si="2"/>
        <v>0.43870799999999999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57"/>
      <c r="Z112" s="57"/>
    </row>
    <row r="113" spans="1:26" ht="21" hidden="1" customHeight="1">
      <c r="A113" s="19" t="s">
        <v>53</v>
      </c>
      <c r="B113" s="20" t="s">
        <v>115</v>
      </c>
      <c r="C113" s="39">
        <f>C112*C85</f>
        <v>1.4720000000000005E-4</v>
      </c>
      <c r="D113" s="29">
        <f t="shared" si="2"/>
        <v>0.16144454400000005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57"/>
      <c r="Z113" s="57"/>
    </row>
    <row r="114" spans="1:26" ht="21" hidden="1" customHeight="1">
      <c r="A114" s="19" t="s">
        <v>55</v>
      </c>
      <c r="B114" s="20" t="s">
        <v>116</v>
      </c>
      <c r="C114" s="39">
        <v>1E-4</v>
      </c>
      <c r="D114" s="29">
        <f t="shared" si="2"/>
        <v>0.109677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57"/>
      <c r="Z114" s="57"/>
    </row>
    <row r="115" spans="1:26" ht="21" hidden="1" customHeight="1">
      <c r="A115" s="8" t="s">
        <v>80</v>
      </c>
      <c r="B115" s="8"/>
      <c r="C115" s="39">
        <f>SUM(C109:C114)</f>
        <v>5.3659000000000007E-3</v>
      </c>
      <c r="D115" s="29">
        <f>SUM(D109:D114)</f>
        <v>5.8851581429999991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57"/>
      <c r="Z115" s="57"/>
    </row>
    <row r="116" spans="1:26" ht="21" hidden="1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57"/>
      <c r="Z116" s="57"/>
    </row>
    <row r="117" spans="1:26" ht="21" hidden="1" customHeight="1">
      <c r="A117" s="36" t="s">
        <v>117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57"/>
      <c r="Z117" s="57"/>
    </row>
    <row r="118" spans="1:26" ht="21" hidden="1" customHeight="1">
      <c r="A118" s="2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57"/>
      <c r="Z118" s="57"/>
    </row>
    <row r="119" spans="1:26" ht="21" hidden="1" customHeight="1">
      <c r="A119" s="10" t="s">
        <v>118</v>
      </c>
      <c r="B119" s="10"/>
      <c r="C119" s="18" t="s">
        <v>85</v>
      </c>
      <c r="D119" s="18" t="s">
        <v>48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57"/>
      <c r="Z119" s="57"/>
    </row>
    <row r="120" spans="1:26" ht="21" hidden="1" customHeight="1">
      <c r="A120" s="19" t="s">
        <v>24</v>
      </c>
      <c r="B120" s="20" t="s">
        <v>119</v>
      </c>
      <c r="C120" s="39">
        <f>0.0833+0.0278</f>
        <v>0.1111</v>
      </c>
      <c r="D120" s="29">
        <f t="shared" ref="D120:D128" si="3">C120*$C$46</f>
        <v>121.851147</v>
      </c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57"/>
      <c r="Z120" s="57"/>
    </row>
    <row r="121" spans="1:26" ht="21" hidden="1" customHeight="1">
      <c r="A121" s="19" t="s">
        <v>26</v>
      </c>
      <c r="B121" s="20" t="s">
        <v>120</v>
      </c>
      <c r="C121" s="39">
        <v>1.66E-2</v>
      </c>
      <c r="D121" s="29">
        <f t="shared" si="3"/>
        <v>18.206382000000001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57"/>
      <c r="Z121" s="57"/>
    </row>
    <row r="122" spans="1:26" ht="21" hidden="1" customHeight="1">
      <c r="A122" s="19" t="s">
        <v>29</v>
      </c>
      <c r="B122" s="20" t="s">
        <v>121</v>
      </c>
      <c r="C122" s="39">
        <v>0</v>
      </c>
      <c r="D122" s="29">
        <f t="shared" si="3"/>
        <v>0</v>
      </c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57"/>
      <c r="Z122" s="57"/>
    </row>
    <row r="123" spans="1:26" ht="21" hidden="1" customHeight="1">
      <c r="A123" s="19" t="s">
        <v>31</v>
      </c>
      <c r="B123" s="20" t="s">
        <v>122</v>
      </c>
      <c r="C123" s="39">
        <v>2.8E-3</v>
      </c>
      <c r="D123" s="29">
        <f t="shared" si="3"/>
        <v>3.0709559999999998</v>
      </c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57"/>
      <c r="Z123" s="57"/>
    </row>
    <row r="124" spans="1:26" ht="21" hidden="1" customHeight="1">
      <c r="A124" s="19" t="s">
        <v>53</v>
      </c>
      <c r="B124" s="20" t="s">
        <v>123</v>
      </c>
      <c r="C124" s="39">
        <v>2.9999999999999997E-4</v>
      </c>
      <c r="D124" s="29">
        <f t="shared" si="3"/>
        <v>0.32903099999999996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57"/>
      <c r="Z124" s="57"/>
    </row>
    <row r="125" spans="1:26" ht="21" hidden="1" customHeight="1">
      <c r="A125" s="19" t="s">
        <v>55</v>
      </c>
      <c r="B125" s="20" t="s">
        <v>60</v>
      </c>
      <c r="C125" s="39"/>
      <c r="D125" s="29">
        <f t="shared" si="3"/>
        <v>0</v>
      </c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57"/>
      <c r="Z125" s="57"/>
    </row>
    <row r="126" spans="1:26" ht="21" hidden="1" customHeight="1">
      <c r="A126" s="21"/>
      <c r="B126" s="40" t="s">
        <v>103</v>
      </c>
      <c r="C126" s="39">
        <f>SUM(C120:C125)</f>
        <v>0.1308</v>
      </c>
      <c r="D126" s="29">
        <f t="shared" si="3"/>
        <v>143.457516</v>
      </c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57"/>
      <c r="Z126" s="57"/>
    </row>
    <row r="127" spans="1:26" ht="21" hidden="1" customHeight="1">
      <c r="A127" s="19" t="s">
        <v>57</v>
      </c>
      <c r="B127" s="20" t="s">
        <v>124</v>
      </c>
      <c r="C127" s="39">
        <f>C126*C85</f>
        <v>4.8134400000000015E-2</v>
      </c>
      <c r="D127" s="29">
        <f t="shared" si="3"/>
        <v>52.792365888000013</v>
      </c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57"/>
      <c r="Z127" s="57"/>
    </row>
    <row r="128" spans="1:26" ht="21" hidden="1" customHeight="1">
      <c r="A128" s="8" t="s">
        <v>80</v>
      </c>
      <c r="B128" s="8"/>
      <c r="C128" s="39">
        <f>C126+C127</f>
        <v>0.17893440000000002</v>
      </c>
      <c r="D128" s="29">
        <f t="shared" si="3"/>
        <v>196.24988188800003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57"/>
      <c r="Z128" s="57"/>
    </row>
    <row r="129" spans="1:26" ht="21" hidden="1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57"/>
      <c r="Z129" s="57"/>
    </row>
    <row r="130" spans="1:26" ht="21" hidden="1" customHeight="1">
      <c r="A130" s="36" t="s">
        <v>125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57"/>
      <c r="Z130" s="57"/>
    </row>
    <row r="131" spans="1:26" ht="21" hidden="1" customHeight="1">
      <c r="A131" s="2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57"/>
      <c r="Z131" s="57"/>
    </row>
    <row r="132" spans="1:26" ht="21" hidden="1" customHeight="1">
      <c r="A132" s="10" t="s">
        <v>126</v>
      </c>
      <c r="B132" s="10"/>
      <c r="C132" s="18" t="s">
        <v>85</v>
      </c>
      <c r="D132" s="18" t="s">
        <v>48</v>
      </c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57"/>
      <c r="Z132" s="57"/>
    </row>
    <row r="133" spans="1:26" ht="21" hidden="1" customHeight="1">
      <c r="A133" s="41" t="s">
        <v>127</v>
      </c>
      <c r="B133" s="20" t="s">
        <v>128</v>
      </c>
      <c r="C133" s="39">
        <f>C85</f>
        <v>0.3680000000000001</v>
      </c>
      <c r="D133" s="29">
        <f>D85</f>
        <v>403.61136000000005</v>
      </c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57"/>
      <c r="Z133" s="57"/>
    </row>
    <row r="134" spans="1:26" ht="21" hidden="1" customHeight="1">
      <c r="A134" s="41" t="s">
        <v>129</v>
      </c>
      <c r="B134" s="20" t="s">
        <v>168</v>
      </c>
      <c r="C134" s="39">
        <f>C97</f>
        <v>0.26593919999999999</v>
      </c>
      <c r="D134" s="29">
        <f>D97</f>
        <v>291.67413638400001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57"/>
      <c r="Z134" s="57"/>
    </row>
    <row r="135" spans="1:26" ht="21" hidden="1" customHeight="1">
      <c r="A135" s="41" t="s">
        <v>131</v>
      </c>
      <c r="B135" s="20" t="s">
        <v>107</v>
      </c>
      <c r="C135" s="39">
        <f>C104</f>
        <v>9.5760000000000007E-4</v>
      </c>
      <c r="D135" s="29">
        <f>D104</f>
        <v>1.0502669520000001</v>
      </c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57"/>
      <c r="Z135" s="57"/>
    </row>
    <row r="136" spans="1:26" ht="21" hidden="1" customHeight="1">
      <c r="A136" s="41" t="s">
        <v>132</v>
      </c>
      <c r="B136" s="20" t="s">
        <v>133</v>
      </c>
      <c r="C136" s="39">
        <f>C115</f>
        <v>5.3659000000000007E-3</v>
      </c>
      <c r="D136" s="29">
        <f>D115</f>
        <v>5.8851581429999991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57"/>
      <c r="Z136" s="57"/>
    </row>
    <row r="137" spans="1:26" ht="21" hidden="1" customHeight="1">
      <c r="A137" s="41" t="s">
        <v>134</v>
      </c>
      <c r="B137" s="20" t="s">
        <v>135</v>
      </c>
      <c r="C137" s="39">
        <f>C128</f>
        <v>0.17893440000000002</v>
      </c>
      <c r="D137" s="29">
        <f>D128</f>
        <v>196.24988188800003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57"/>
      <c r="Z137" s="57"/>
    </row>
    <row r="138" spans="1:26" ht="21" hidden="1" customHeight="1">
      <c r="A138" s="41" t="s">
        <v>136</v>
      </c>
      <c r="B138" s="20" t="s">
        <v>60</v>
      </c>
      <c r="C138" s="39"/>
      <c r="D138" s="2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57"/>
      <c r="Z138" s="57"/>
    </row>
    <row r="139" spans="1:26" ht="21" hidden="1" customHeight="1">
      <c r="A139" s="8" t="s">
        <v>80</v>
      </c>
      <c r="B139" s="8"/>
      <c r="C139" s="39">
        <f>SUM(C133:C138)</f>
        <v>0.81919710000000023</v>
      </c>
      <c r="D139" s="29">
        <f>SUM(D133:D138)</f>
        <v>898.47080336700003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57"/>
      <c r="Z139" s="57"/>
    </row>
    <row r="140" spans="1:26" ht="21" hidden="1" customHeight="1">
      <c r="A140" s="15"/>
      <c r="B140" s="15"/>
      <c r="C140" s="15"/>
      <c r="D140" s="42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57"/>
      <c r="Z140" s="57"/>
    </row>
    <row r="141" spans="1:26" ht="21" hidden="1" customHeight="1">
      <c r="A141" s="23" t="s">
        <v>137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57"/>
      <c r="Z141" s="57"/>
    </row>
    <row r="142" spans="1:26" ht="21" hidden="1" customHeight="1">
      <c r="A142" s="2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57"/>
      <c r="Z142" s="57"/>
    </row>
    <row r="143" spans="1:26" ht="21" hidden="1" customHeight="1">
      <c r="A143" s="10" t="s">
        <v>138</v>
      </c>
      <c r="B143" s="10"/>
      <c r="C143" s="18" t="s">
        <v>85</v>
      </c>
      <c r="D143" s="18" t="s">
        <v>48</v>
      </c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57"/>
      <c r="Z143" s="57"/>
    </row>
    <row r="144" spans="1:26" ht="21" hidden="1" customHeight="1">
      <c r="A144" s="19" t="s">
        <v>24</v>
      </c>
      <c r="B144" s="20" t="s">
        <v>139</v>
      </c>
      <c r="C144" s="39">
        <v>0.03</v>
      </c>
      <c r="D144" s="22">
        <f>C144*C167</f>
        <v>62.833038101009997</v>
      </c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57"/>
      <c r="Z144" s="57"/>
    </row>
    <row r="145" spans="1:26" ht="21" hidden="1" customHeight="1">
      <c r="A145" s="19" t="s">
        <v>26</v>
      </c>
      <c r="B145" s="7" t="s">
        <v>140</v>
      </c>
      <c r="C145" s="7"/>
      <c r="D145" s="7"/>
      <c r="E145" s="43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57"/>
      <c r="Z145" s="57"/>
    </row>
    <row r="146" spans="1:26" ht="21" hidden="1" customHeight="1">
      <c r="A146" s="19"/>
      <c r="B146" s="20" t="s">
        <v>141</v>
      </c>
      <c r="C146" s="39">
        <v>6.4999999999999997E-3</v>
      </c>
      <c r="D146" s="22">
        <f>(($C$167+$D$144+$D$153)/(1-$C$152))*C146</f>
        <v>16.392282148991757</v>
      </c>
      <c r="E146" s="43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57"/>
      <c r="Z146" s="57"/>
    </row>
    <row r="147" spans="1:26" ht="21" hidden="1" customHeight="1">
      <c r="A147" s="19"/>
      <c r="B147" s="20" t="s">
        <v>142</v>
      </c>
      <c r="C147" s="39">
        <v>0.03</v>
      </c>
      <c r="D147" s="22">
        <f>(($C$167+$D$144+$D$153)/(1-$C$152))*C147</f>
        <v>75.656686841500417</v>
      </c>
      <c r="E147" s="43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57"/>
      <c r="Z147" s="57"/>
    </row>
    <row r="148" spans="1:26" ht="21" hidden="1" customHeight="1">
      <c r="A148" s="19"/>
      <c r="B148" s="20" t="s">
        <v>143</v>
      </c>
      <c r="C148" s="39">
        <v>0</v>
      </c>
      <c r="D148" s="22">
        <f>(($C$167+$D$144+$D$153)/(1-$C$152))*C148</f>
        <v>0</v>
      </c>
      <c r="E148" s="43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57"/>
      <c r="Z148" s="57"/>
    </row>
    <row r="149" spans="1:26" ht="21" hidden="1" customHeight="1">
      <c r="A149" s="19"/>
      <c r="B149" s="7" t="s">
        <v>144</v>
      </c>
      <c r="C149" s="7"/>
      <c r="D149" s="7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57"/>
      <c r="Z149" s="57"/>
    </row>
    <row r="150" spans="1:26" ht="21" hidden="1" customHeight="1">
      <c r="A150" s="19"/>
      <c r="B150" s="7" t="s">
        <v>145</v>
      </c>
      <c r="C150" s="7"/>
      <c r="D150" s="7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57"/>
      <c r="Z150" s="57"/>
    </row>
    <row r="151" spans="1:26" ht="21" hidden="1" customHeight="1">
      <c r="A151" s="19"/>
      <c r="B151" s="20" t="s">
        <v>146</v>
      </c>
      <c r="C151" s="39">
        <v>0.05</v>
      </c>
      <c r="D151" s="22">
        <f>(($C$167+$D$144+$D$153)/(1-$C$152))*C151</f>
        <v>126.09447806916738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57"/>
      <c r="Z151" s="57"/>
    </row>
    <row r="152" spans="1:26" ht="21" hidden="1" customHeight="1">
      <c r="A152" s="19"/>
      <c r="B152" s="20" t="s">
        <v>147</v>
      </c>
      <c r="C152" s="39">
        <f>SUM(C146:C151)</f>
        <v>8.6499999999999994E-2</v>
      </c>
      <c r="D152" s="22">
        <f>(($C$167+$D$144+$D$153)/(1-$C$152))*C152</f>
        <v>218.14344705965954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57"/>
      <c r="Z152" s="57"/>
    </row>
    <row r="153" spans="1:26" ht="21" hidden="1" customHeight="1">
      <c r="A153" s="19" t="s">
        <v>29</v>
      </c>
      <c r="B153" s="20" t="s">
        <v>148</v>
      </c>
      <c r="C153" s="39">
        <v>6.7900000000000002E-2</v>
      </c>
      <c r="D153" s="22">
        <f>C153*(C167+D144)</f>
        <v>146.47847285567789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57"/>
      <c r="Z153" s="57"/>
    </row>
    <row r="154" spans="1:26" ht="21" hidden="1" customHeight="1">
      <c r="A154" s="6" t="s">
        <v>80</v>
      </c>
      <c r="B154" s="6"/>
      <c r="C154" s="44">
        <f>SUM(C144,C152,C153)</f>
        <v>0.18440000000000001</v>
      </c>
      <c r="D154" s="45">
        <f>SUM(D144,D152,D153)</f>
        <v>427.4549580163474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57"/>
      <c r="Z154" s="57"/>
    </row>
    <row r="155" spans="1:26" ht="75" hidden="1" customHeight="1">
      <c r="A155" s="56" t="s">
        <v>149</v>
      </c>
      <c r="B155" s="5" t="s">
        <v>150</v>
      </c>
      <c r="C155" s="4" t="s">
        <v>151</v>
      </c>
      <c r="D155" s="4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57"/>
      <c r="Z155" s="57"/>
    </row>
    <row r="156" spans="1:26" ht="75" hidden="1" customHeight="1">
      <c r="A156" s="56" t="s">
        <v>152</v>
      </c>
      <c r="B156" s="5"/>
      <c r="C156" s="4"/>
      <c r="D156" s="4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57"/>
      <c r="Z156" s="57"/>
    </row>
    <row r="157" spans="1:26" ht="75" hidden="1" customHeight="1">
      <c r="A157" s="56" t="s">
        <v>153</v>
      </c>
      <c r="B157" s="5"/>
      <c r="C157" s="4"/>
      <c r="D157" s="4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57"/>
    </row>
    <row r="158" spans="1:26" ht="21" hidden="1" customHeight="1">
      <c r="A158" s="47"/>
      <c r="B158" s="36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57"/>
    </row>
    <row r="159" spans="1:26" ht="21" hidden="1" customHeight="1">
      <c r="A159" s="47"/>
      <c r="B159" s="36"/>
      <c r="C159" s="15"/>
      <c r="D159" s="3">
        <f>E169-C169</f>
        <v>730.41428288810266</v>
      </c>
      <c r="E159" s="3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57"/>
    </row>
    <row r="160" spans="1:26" ht="21" hidden="1" customHeight="1">
      <c r="A160" s="47"/>
      <c r="B160" s="36" t="s">
        <v>154</v>
      </c>
      <c r="C160" s="15"/>
      <c r="D160" s="48"/>
      <c r="E160" s="48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57"/>
    </row>
    <row r="161" spans="1:26" ht="21" hidden="1" customHeight="1">
      <c r="A161" s="24"/>
      <c r="B161" s="15"/>
      <c r="C161" s="15"/>
      <c r="D161" s="48"/>
      <c r="E161" s="48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57"/>
    </row>
    <row r="162" spans="1:26" ht="21" hidden="1" customHeight="1">
      <c r="A162" s="10" t="s">
        <v>155</v>
      </c>
      <c r="B162" s="10"/>
      <c r="C162" s="18" t="s">
        <v>48</v>
      </c>
      <c r="D162" s="48"/>
      <c r="E162" s="48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57"/>
    </row>
    <row r="163" spans="1:26" ht="21" hidden="1" customHeight="1">
      <c r="A163" s="19" t="s">
        <v>24</v>
      </c>
      <c r="B163" s="20" t="s">
        <v>46</v>
      </c>
      <c r="C163" s="22">
        <f>C46</f>
        <v>1096.77</v>
      </c>
      <c r="D163" s="48"/>
      <c r="E163" s="49">
        <v>1239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57"/>
    </row>
    <row r="164" spans="1:26" ht="21" hidden="1" customHeight="1">
      <c r="A164" s="19" t="s">
        <v>26</v>
      </c>
      <c r="B164" s="20" t="s">
        <v>63</v>
      </c>
      <c r="C164" s="22">
        <f>C59</f>
        <v>99.19380000000001</v>
      </c>
      <c r="D164" s="48"/>
      <c r="E164" s="49">
        <v>447.06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57"/>
    </row>
    <row r="165" spans="1:26" ht="21" hidden="1" customHeight="1">
      <c r="A165" s="19" t="s">
        <v>29</v>
      </c>
      <c r="B165" s="20" t="s">
        <v>156</v>
      </c>
      <c r="C165" s="22">
        <f>C69</f>
        <v>0</v>
      </c>
      <c r="D165" s="48"/>
      <c r="E165" s="49">
        <v>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57"/>
    </row>
    <row r="166" spans="1:26" ht="21" hidden="1" customHeight="1">
      <c r="A166" s="19" t="s">
        <v>31</v>
      </c>
      <c r="B166" s="20" t="s">
        <v>157</v>
      </c>
      <c r="C166" s="22">
        <f>D139</f>
        <v>898.47080336700003</v>
      </c>
      <c r="D166" s="48"/>
      <c r="E166" s="49">
        <v>1014.9852069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57"/>
    </row>
    <row r="167" spans="1:26" ht="21" hidden="1" customHeight="1">
      <c r="A167" s="21"/>
      <c r="B167" s="40" t="s">
        <v>158</v>
      </c>
      <c r="C167" s="22">
        <f>SUM(C163:C166)</f>
        <v>2094.4346033669999</v>
      </c>
      <c r="D167" s="48"/>
      <c r="E167" s="49">
        <v>2701.0452068999998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57"/>
    </row>
    <row r="168" spans="1:26" ht="21" hidden="1" customHeight="1">
      <c r="A168" s="19" t="s">
        <v>53</v>
      </c>
      <c r="B168" s="20" t="s">
        <v>137</v>
      </c>
      <c r="C168" s="22">
        <f>D154</f>
        <v>427.4549580163474</v>
      </c>
      <c r="D168" s="48"/>
      <c r="E168" s="49">
        <v>551.25863737144505</v>
      </c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57"/>
    </row>
    <row r="169" spans="1:26" ht="21" hidden="1" customHeight="1">
      <c r="A169" s="8" t="s">
        <v>159</v>
      </c>
      <c r="B169" s="8"/>
      <c r="C169" s="22">
        <f>C167+C168</f>
        <v>2521.8895613833474</v>
      </c>
      <c r="D169" s="48"/>
      <c r="E169" s="49">
        <v>3252.3038442714501</v>
      </c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57"/>
    </row>
    <row r="170" spans="1:26" ht="21" hidden="1" customHeight="1">
      <c r="A170" s="50"/>
      <c r="B170" s="15"/>
      <c r="C170" s="51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57"/>
    </row>
    <row r="171" spans="1:26" ht="21" hidden="1" customHeight="1">
      <c r="A171" s="52"/>
      <c r="B171" s="53"/>
      <c r="C171" s="54"/>
      <c r="D171" s="53"/>
      <c r="E171" s="53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57"/>
    </row>
    <row r="172" spans="1:26" ht="21" hidden="1" customHeight="1">
      <c r="A172" s="50"/>
      <c r="B172" s="15"/>
      <c r="C172" s="51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57"/>
    </row>
    <row r="173" spans="1:26" ht="30" customHeight="1">
      <c r="A173" s="2" t="s">
        <v>170</v>
      </c>
      <c r="B173" s="2"/>
      <c r="C173" s="2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57"/>
    </row>
    <row r="174" spans="1:26" ht="21" customHeight="1">
      <c r="A174" s="16"/>
      <c r="B174" s="16" t="s">
        <v>1</v>
      </c>
      <c r="C174" s="16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57"/>
    </row>
    <row r="175" spans="1:26" ht="21" customHeight="1">
      <c r="A175" s="13" t="s">
        <v>2</v>
      </c>
      <c r="B175" s="13"/>
      <c r="C175" s="13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57"/>
    </row>
    <row r="176" spans="1:26" ht="21" customHeight="1">
      <c r="A176" s="13" t="s">
        <v>3</v>
      </c>
      <c r="B176" s="13"/>
      <c r="C176" s="13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57"/>
    </row>
    <row r="177" spans="1:26" ht="21" customHeight="1">
      <c r="A177" s="17" t="s">
        <v>4</v>
      </c>
      <c r="B177" s="17" t="s">
        <v>5</v>
      </c>
      <c r="C177" s="17" t="s">
        <v>6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57"/>
    </row>
    <row r="178" spans="1:26" ht="21" customHeight="1">
      <c r="A178" s="13" t="s">
        <v>7</v>
      </c>
      <c r="B178" s="13"/>
      <c r="C178" s="13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57"/>
    </row>
    <row r="179" spans="1:26" ht="21" customHeight="1">
      <c r="A179" s="17" t="s">
        <v>8</v>
      </c>
      <c r="B179" s="17" t="s">
        <v>9</v>
      </c>
      <c r="C179" s="17" t="s">
        <v>10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57"/>
    </row>
    <row r="180" spans="1:26" ht="21" customHeight="1">
      <c r="A180" s="17" t="s">
        <v>11</v>
      </c>
      <c r="B180" s="17" t="s">
        <v>12</v>
      </c>
      <c r="C180" s="17" t="s">
        <v>13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57"/>
    </row>
    <row r="181" spans="1:26" ht="21" customHeight="1">
      <c r="A181" s="17" t="s">
        <v>14</v>
      </c>
      <c r="B181" s="13" t="s">
        <v>15</v>
      </c>
      <c r="C181" s="13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57"/>
    </row>
    <row r="182" spans="1:26" ht="21" customHeight="1">
      <c r="A182" s="13" t="s">
        <v>16</v>
      </c>
      <c r="B182" s="13"/>
      <c r="C182" s="13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57"/>
    </row>
    <row r="183" spans="1:26" ht="21" customHeight="1">
      <c r="A183" s="17" t="s">
        <v>17</v>
      </c>
      <c r="B183" s="17" t="s">
        <v>18</v>
      </c>
      <c r="C183" s="17" t="s">
        <v>19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57"/>
    </row>
    <row r="184" spans="1:26" ht="21" customHeight="1">
      <c r="A184" s="17" t="s">
        <v>20</v>
      </c>
      <c r="B184" s="17" t="s">
        <v>21</v>
      </c>
      <c r="C184" s="17" t="s">
        <v>22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57"/>
    </row>
    <row r="185" spans="1:26" ht="21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57"/>
    </row>
    <row r="186" spans="1:26" ht="21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57"/>
    </row>
    <row r="187" spans="1:26" ht="21" customHeight="1">
      <c r="A187" s="18"/>
      <c r="B187" s="18" t="s">
        <v>23</v>
      </c>
      <c r="C187" s="18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57"/>
    </row>
    <row r="188" spans="1:26" ht="21" customHeight="1">
      <c r="A188" s="19" t="s">
        <v>24</v>
      </c>
      <c r="B188" s="20" t="s">
        <v>25</v>
      </c>
      <c r="C188" s="21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57"/>
    </row>
    <row r="189" spans="1:26" ht="21" customHeight="1">
      <c r="A189" s="19" t="s">
        <v>26</v>
      </c>
      <c r="B189" s="20" t="s">
        <v>27</v>
      </c>
      <c r="C189" s="21" t="s">
        <v>28</v>
      </c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57"/>
    </row>
    <row r="190" spans="1:26" ht="21" customHeight="1">
      <c r="A190" s="19" t="s">
        <v>29</v>
      </c>
      <c r="B190" s="20" t="s">
        <v>171</v>
      </c>
      <c r="C190" s="21">
        <v>2021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57"/>
    </row>
    <row r="191" spans="1:26" ht="21" customHeight="1">
      <c r="A191" s="19" t="s">
        <v>31</v>
      </c>
      <c r="B191" s="20" t="s">
        <v>162</v>
      </c>
      <c r="C191" s="21" t="s">
        <v>33</v>
      </c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57"/>
    </row>
    <row r="192" spans="1:26" ht="21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57"/>
    </row>
    <row r="193" spans="1:26" ht="21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57"/>
    </row>
    <row r="194" spans="1:26" ht="21" customHeight="1">
      <c r="A194" s="18" t="s">
        <v>34</v>
      </c>
      <c r="B194" s="18" t="s">
        <v>35</v>
      </c>
      <c r="C194" s="18" t="s">
        <v>36</v>
      </c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57"/>
    </row>
    <row r="195" spans="1:26" ht="21" customHeight="1">
      <c r="A195" s="21" t="s">
        <v>37</v>
      </c>
      <c r="B195" s="21" t="s">
        <v>38</v>
      </c>
      <c r="C195" s="22">
        <v>166990.65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57"/>
    </row>
    <row r="196" spans="1:26" ht="21" customHeight="1">
      <c r="A196" s="20"/>
      <c r="B196" s="20"/>
      <c r="C196" s="20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57"/>
    </row>
    <row r="197" spans="1:26" ht="21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57"/>
    </row>
    <row r="198" spans="1:26" ht="21" customHeight="1">
      <c r="A198" s="15"/>
      <c r="B198" s="23" t="s">
        <v>39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57"/>
    </row>
    <row r="199" spans="1:26" ht="21" customHeight="1">
      <c r="A199" s="2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57"/>
    </row>
    <row r="200" spans="1:26" ht="21" customHeight="1">
      <c r="A200" s="12" t="s">
        <v>40</v>
      </c>
      <c r="B200" s="12"/>
      <c r="C200" s="12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57"/>
    </row>
    <row r="201" spans="1:26" ht="21" customHeight="1">
      <c r="A201" s="19">
        <v>1</v>
      </c>
      <c r="B201" s="25" t="s">
        <v>41</v>
      </c>
      <c r="C201" s="21" t="s">
        <v>37</v>
      </c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57"/>
    </row>
    <row r="202" spans="1:26" ht="21" customHeight="1">
      <c r="A202" s="19">
        <v>2</v>
      </c>
      <c r="B202" s="25" t="s">
        <v>42</v>
      </c>
      <c r="C202" s="22">
        <v>1624.91</v>
      </c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57"/>
    </row>
    <row r="203" spans="1:26" ht="21" customHeight="1">
      <c r="A203" s="19">
        <v>3</v>
      </c>
      <c r="B203" s="25" t="s">
        <v>43</v>
      </c>
      <c r="C203" s="26" t="s">
        <v>164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57"/>
    </row>
    <row r="204" spans="1:26" ht="21" customHeight="1">
      <c r="A204" s="19">
        <v>4</v>
      </c>
      <c r="B204" s="25" t="s">
        <v>45</v>
      </c>
      <c r="C204" s="27">
        <v>44256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57"/>
    </row>
    <row r="205" spans="1:26" ht="21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57"/>
    </row>
    <row r="206" spans="1:26" ht="21" customHeight="1">
      <c r="A206" s="23" t="s">
        <v>46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57"/>
    </row>
    <row r="207" spans="1:26" ht="21" customHeight="1">
      <c r="A207" s="2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57"/>
    </row>
    <row r="208" spans="1:26" ht="21" customHeight="1">
      <c r="A208" s="10" t="s">
        <v>47</v>
      </c>
      <c r="B208" s="10"/>
      <c r="C208" s="18" t="s">
        <v>48</v>
      </c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57"/>
    </row>
    <row r="209" spans="1:26" ht="21" customHeight="1">
      <c r="A209" s="19" t="s">
        <v>24</v>
      </c>
      <c r="B209" s="20" t="s">
        <v>49</v>
      </c>
      <c r="C209" s="22">
        <f>C202</f>
        <v>1624.91</v>
      </c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57"/>
    </row>
    <row r="210" spans="1:26" ht="21" customHeight="1">
      <c r="A210" s="19" t="s">
        <v>26</v>
      </c>
      <c r="B210" s="20" t="s">
        <v>50</v>
      </c>
      <c r="C210" s="22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57"/>
    </row>
    <row r="211" spans="1:26" ht="21" customHeight="1">
      <c r="A211" s="19" t="s">
        <v>29</v>
      </c>
      <c r="B211" s="20" t="s">
        <v>51</v>
      </c>
      <c r="C211" s="22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57"/>
    </row>
    <row r="212" spans="1:26" ht="21" customHeight="1">
      <c r="A212" s="19" t="s">
        <v>31</v>
      </c>
      <c r="B212" s="20" t="s">
        <v>52</v>
      </c>
      <c r="C212" s="22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57"/>
    </row>
    <row r="213" spans="1:26" ht="21" customHeight="1">
      <c r="A213" s="19" t="s">
        <v>53</v>
      </c>
      <c r="B213" s="20" t="s">
        <v>54</v>
      </c>
      <c r="C213" s="22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57"/>
    </row>
    <row r="214" spans="1:26" ht="21" customHeight="1">
      <c r="A214" s="19" t="s">
        <v>55</v>
      </c>
      <c r="B214" s="20" t="s">
        <v>56</v>
      </c>
      <c r="C214" s="22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57"/>
    </row>
    <row r="215" spans="1:26" ht="21" customHeight="1">
      <c r="A215" s="19" t="s">
        <v>57</v>
      </c>
      <c r="B215" s="20" t="s">
        <v>58</v>
      </c>
      <c r="C215" s="22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57"/>
    </row>
    <row r="216" spans="1:26" ht="21" customHeight="1">
      <c r="A216" s="19" t="s">
        <v>59</v>
      </c>
      <c r="B216" s="20" t="s">
        <v>60</v>
      </c>
      <c r="C216" s="22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57"/>
    </row>
    <row r="217" spans="1:26" ht="21" customHeight="1">
      <c r="A217" s="9" t="s">
        <v>61</v>
      </c>
      <c r="B217" s="9"/>
      <c r="C217" s="22">
        <f>SUM(C209:C216)</f>
        <v>1624.91</v>
      </c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57"/>
    </row>
    <row r="218" spans="1:26" ht="21" customHeight="1">
      <c r="A218" s="28" t="s">
        <v>62</v>
      </c>
      <c r="B218" s="28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57"/>
    </row>
    <row r="219" spans="1:26" ht="21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57"/>
    </row>
    <row r="220" spans="1:26" ht="21" customHeight="1">
      <c r="A220" s="23" t="s">
        <v>63</v>
      </c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57"/>
    </row>
    <row r="221" spans="1:26" ht="21" customHeight="1">
      <c r="A221" s="2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57"/>
    </row>
    <row r="222" spans="1:26" ht="21" customHeight="1">
      <c r="A222" s="10" t="s">
        <v>64</v>
      </c>
      <c r="B222" s="10"/>
      <c r="C222" s="18" t="s">
        <v>48</v>
      </c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57"/>
    </row>
    <row r="223" spans="1:26" ht="21" customHeight="1">
      <c r="A223" s="19" t="s">
        <v>24</v>
      </c>
      <c r="B223" s="20" t="s">
        <v>65</v>
      </c>
      <c r="C223" s="29">
        <f>2*3.75*22 - 0.06*C217</f>
        <v>67.505399999999995</v>
      </c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57"/>
    </row>
    <row r="224" spans="1:26" ht="21" customHeight="1">
      <c r="A224" s="19" t="s">
        <v>26</v>
      </c>
      <c r="B224" s="20" t="s">
        <v>66</v>
      </c>
      <c r="C224" s="29">
        <f>19.5*22*0.9</f>
        <v>386.1</v>
      </c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57"/>
    </row>
    <row r="225" spans="1:26" ht="21" customHeight="1">
      <c r="A225" s="19" t="s">
        <v>29</v>
      </c>
      <c r="B225" s="20" t="s">
        <v>67</v>
      </c>
      <c r="C225" s="29">
        <v>0</v>
      </c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57"/>
    </row>
    <row r="226" spans="1:26" ht="21" customHeight="1">
      <c r="A226" s="19" t="s">
        <v>31</v>
      </c>
      <c r="B226" s="20" t="s">
        <v>68</v>
      </c>
      <c r="C226" s="29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57"/>
    </row>
    <row r="227" spans="1:26" ht="21" customHeight="1">
      <c r="A227" s="19" t="s">
        <v>53</v>
      </c>
      <c r="B227" s="20" t="s">
        <v>69</v>
      </c>
      <c r="C227" s="29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57"/>
    </row>
    <row r="228" spans="1:26" ht="21" customHeight="1">
      <c r="A228" s="19" t="s">
        <v>55</v>
      </c>
      <c r="B228" s="20" t="s">
        <v>70</v>
      </c>
      <c r="C228" s="29">
        <v>0</v>
      </c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57"/>
    </row>
    <row r="229" spans="1:26" ht="21" customHeight="1">
      <c r="A229" s="19" t="s">
        <v>57</v>
      </c>
      <c r="B229" s="30" t="s">
        <v>172</v>
      </c>
      <c r="C229" s="29">
        <v>16</v>
      </c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57"/>
    </row>
    <row r="230" spans="1:26" ht="21" customHeight="1">
      <c r="A230" s="9" t="s">
        <v>72</v>
      </c>
      <c r="B230" s="9"/>
      <c r="C230" s="29">
        <f>SUM(C223:C229)</f>
        <v>469.60540000000003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57"/>
    </row>
    <row r="231" spans="1:26" ht="21" customHeight="1">
      <c r="A231" s="31" t="s">
        <v>73</v>
      </c>
      <c r="B231" s="32" t="s">
        <v>74</v>
      </c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57"/>
    </row>
    <row r="232" spans="1:26" ht="21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57"/>
    </row>
    <row r="233" spans="1:26" ht="21" customHeight="1">
      <c r="A233" s="23" t="s">
        <v>75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57"/>
    </row>
    <row r="234" spans="1:26" ht="21" customHeight="1">
      <c r="A234" s="2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57"/>
    </row>
    <row r="235" spans="1:26" ht="21" customHeight="1">
      <c r="A235" s="10" t="s">
        <v>165</v>
      </c>
      <c r="B235" s="10"/>
      <c r="C235" s="18" t="s">
        <v>48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57"/>
    </row>
    <row r="236" spans="1:26" ht="21" customHeight="1">
      <c r="A236" s="19" t="s">
        <v>24</v>
      </c>
      <c r="B236" s="55" t="s">
        <v>166</v>
      </c>
      <c r="C236" s="29">
        <v>0</v>
      </c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57"/>
    </row>
    <row r="237" spans="1:26" ht="21" customHeight="1">
      <c r="A237" s="19" t="s">
        <v>26</v>
      </c>
      <c r="B237" s="55" t="s">
        <v>78</v>
      </c>
      <c r="C237" s="29">
        <v>0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57"/>
    </row>
    <row r="238" spans="1:26" ht="21" customHeight="1">
      <c r="A238" s="19" t="s">
        <v>29</v>
      </c>
      <c r="B238" s="55" t="s">
        <v>79</v>
      </c>
      <c r="C238" s="29">
        <v>0</v>
      </c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57"/>
    </row>
    <row r="239" spans="1:26" ht="21" customHeight="1">
      <c r="A239" s="19" t="s">
        <v>31</v>
      </c>
      <c r="B239" s="55" t="s">
        <v>60</v>
      </c>
      <c r="C239" s="29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57"/>
    </row>
    <row r="240" spans="1:26" ht="21" customHeight="1">
      <c r="A240" s="8" t="s">
        <v>80</v>
      </c>
      <c r="B240" s="8"/>
      <c r="C240" s="29">
        <f>SUM(C236:C239)</f>
        <v>0</v>
      </c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57"/>
    </row>
    <row r="241" spans="1:26" ht="21" customHeight="1">
      <c r="A241" s="17" t="s">
        <v>81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57"/>
    </row>
    <row r="242" spans="1:26" ht="21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57"/>
    </row>
    <row r="243" spans="1:26" ht="21" customHeight="1">
      <c r="A243" s="36" t="s">
        <v>82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57"/>
    </row>
    <row r="244" spans="1:26" ht="21" customHeight="1">
      <c r="A244" s="36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57"/>
    </row>
    <row r="245" spans="1:26" ht="21" customHeight="1">
      <c r="A245" s="36" t="s">
        <v>83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57"/>
    </row>
    <row r="246" spans="1:26" ht="21" customHeight="1">
      <c r="A246" s="2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57"/>
    </row>
    <row r="247" spans="1:26" ht="21" customHeight="1">
      <c r="A247" s="10" t="s">
        <v>84</v>
      </c>
      <c r="B247" s="10"/>
      <c r="C247" s="18" t="s">
        <v>85</v>
      </c>
      <c r="D247" s="18" t="s">
        <v>48</v>
      </c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57"/>
    </row>
    <row r="248" spans="1:26" ht="21" customHeight="1">
      <c r="A248" s="19" t="s">
        <v>24</v>
      </c>
      <c r="B248" s="20" t="s">
        <v>86</v>
      </c>
      <c r="C248" s="39">
        <v>0.2</v>
      </c>
      <c r="D248" s="29">
        <f t="shared" ref="D248:D255" si="4">C248*$C$217</f>
        <v>324.98200000000003</v>
      </c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57"/>
    </row>
    <row r="249" spans="1:26" ht="21" customHeight="1">
      <c r="A249" s="19" t="s">
        <v>26</v>
      </c>
      <c r="B249" s="20" t="s">
        <v>87</v>
      </c>
      <c r="C249" s="39">
        <v>1.4999999999999999E-2</v>
      </c>
      <c r="D249" s="29">
        <f t="shared" si="4"/>
        <v>24.373650000000001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57"/>
    </row>
    <row r="250" spans="1:26" ht="21" customHeight="1">
      <c r="A250" s="19" t="s">
        <v>29</v>
      </c>
      <c r="B250" s="20" t="s">
        <v>88</v>
      </c>
      <c r="C250" s="39">
        <v>0.01</v>
      </c>
      <c r="D250" s="29">
        <f t="shared" si="4"/>
        <v>16.249100000000002</v>
      </c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57"/>
    </row>
    <row r="251" spans="1:26" ht="21" customHeight="1">
      <c r="A251" s="19" t="s">
        <v>31</v>
      </c>
      <c r="B251" s="20" t="s">
        <v>89</v>
      </c>
      <c r="C251" s="39">
        <v>2E-3</v>
      </c>
      <c r="D251" s="29">
        <f t="shared" si="4"/>
        <v>3.2498200000000002</v>
      </c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57"/>
    </row>
    <row r="252" spans="1:26" ht="21" customHeight="1">
      <c r="A252" s="19" t="s">
        <v>53</v>
      </c>
      <c r="B252" s="20" t="s">
        <v>90</v>
      </c>
      <c r="C252" s="39">
        <v>2.5000000000000001E-2</v>
      </c>
      <c r="D252" s="29">
        <f t="shared" si="4"/>
        <v>40.622750000000003</v>
      </c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57"/>
    </row>
    <row r="253" spans="1:26" ht="21" customHeight="1">
      <c r="A253" s="19" t="s">
        <v>55</v>
      </c>
      <c r="B253" s="20" t="s">
        <v>91</v>
      </c>
      <c r="C253" s="39">
        <v>0.08</v>
      </c>
      <c r="D253" s="29">
        <f t="shared" si="4"/>
        <v>129.99280000000002</v>
      </c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57"/>
    </row>
    <row r="254" spans="1:26" ht="21" customHeight="1">
      <c r="A254" s="19" t="s">
        <v>57</v>
      </c>
      <c r="B254" s="20" t="s">
        <v>92</v>
      </c>
      <c r="C254" s="39">
        <v>0.03</v>
      </c>
      <c r="D254" s="29">
        <f t="shared" si="4"/>
        <v>48.747300000000003</v>
      </c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57"/>
    </row>
    <row r="255" spans="1:26" ht="21" customHeight="1">
      <c r="A255" s="19" t="s">
        <v>59</v>
      </c>
      <c r="B255" s="20" t="s">
        <v>93</v>
      </c>
      <c r="C255" s="39">
        <v>6.0000000000000001E-3</v>
      </c>
      <c r="D255" s="29">
        <f t="shared" si="4"/>
        <v>9.7494600000000009</v>
      </c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57"/>
    </row>
    <row r="256" spans="1:26" ht="21" customHeight="1">
      <c r="A256" s="8" t="s">
        <v>72</v>
      </c>
      <c r="B256" s="8"/>
      <c r="C256" s="39">
        <f>SUM(C248:C255)</f>
        <v>0.3680000000000001</v>
      </c>
      <c r="D256" s="29">
        <f>SUM(D248:D255)</f>
        <v>597.96688000000006</v>
      </c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57"/>
    </row>
    <row r="257" spans="1:26" ht="21" customHeight="1">
      <c r="A257" s="31" t="s">
        <v>94</v>
      </c>
      <c r="B257" s="32" t="s">
        <v>95</v>
      </c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57"/>
    </row>
    <row r="258" spans="1:26" ht="21" customHeight="1">
      <c r="A258" s="31" t="s">
        <v>96</v>
      </c>
      <c r="B258" s="32" t="s">
        <v>97</v>
      </c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57"/>
    </row>
    <row r="259" spans="1:26" ht="21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57"/>
    </row>
    <row r="260" spans="1:26" ht="21" customHeight="1">
      <c r="A260" s="23" t="s">
        <v>167</v>
      </c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57"/>
    </row>
    <row r="261" spans="1:26" ht="21" customHeight="1">
      <c r="A261" s="2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57"/>
    </row>
    <row r="262" spans="1:26" ht="21" customHeight="1">
      <c r="A262" s="10" t="s">
        <v>99</v>
      </c>
      <c r="B262" s="10"/>
      <c r="C262" s="18" t="s">
        <v>85</v>
      </c>
      <c r="D262" s="18" t="s">
        <v>48</v>
      </c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57"/>
    </row>
    <row r="263" spans="1:26" ht="21" customHeight="1">
      <c r="A263" s="19" t="s">
        <v>24</v>
      </c>
      <c r="B263" s="20" t="s">
        <v>100</v>
      </c>
      <c r="C263" s="39">
        <v>8.3299999999999999E-2</v>
      </c>
      <c r="D263" s="29">
        <f t="shared" ref="D263:D268" si="5">C263*$C$217</f>
        <v>135.35500300000001</v>
      </c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57"/>
    </row>
    <row r="264" spans="1:26" ht="21" customHeight="1">
      <c r="A264" s="19" t="s">
        <v>26</v>
      </c>
      <c r="B264" s="20" t="s">
        <v>101</v>
      </c>
      <c r="C264" s="39">
        <v>8.3299999999999999E-2</v>
      </c>
      <c r="D264" s="29">
        <f t="shared" si="5"/>
        <v>135.35500300000001</v>
      </c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57"/>
    </row>
    <row r="265" spans="1:26" ht="21" customHeight="1">
      <c r="A265" s="19" t="s">
        <v>29</v>
      </c>
      <c r="B265" s="20" t="s">
        <v>102</v>
      </c>
      <c r="C265" s="39">
        <v>2.7799999999999998E-2</v>
      </c>
      <c r="D265" s="29">
        <f t="shared" si="5"/>
        <v>45.172497999999997</v>
      </c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57"/>
    </row>
    <row r="266" spans="1:26" ht="21" customHeight="1">
      <c r="A266" s="21"/>
      <c r="B266" s="40" t="s">
        <v>103</v>
      </c>
      <c r="C266" s="39">
        <f>C263+C264+C265</f>
        <v>0.19439999999999999</v>
      </c>
      <c r="D266" s="29">
        <f t="shared" si="5"/>
        <v>315.88250399999998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57"/>
    </row>
    <row r="267" spans="1:26" ht="21" customHeight="1">
      <c r="A267" s="19" t="s">
        <v>31</v>
      </c>
      <c r="B267" s="20" t="s">
        <v>104</v>
      </c>
      <c r="C267" s="39">
        <f>C256*C266</f>
        <v>7.1539200000000011E-2</v>
      </c>
      <c r="D267" s="29">
        <f t="shared" si="5"/>
        <v>116.24476147200002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57"/>
    </row>
    <row r="268" spans="1:26" ht="21" customHeight="1">
      <c r="A268" s="8" t="s">
        <v>80</v>
      </c>
      <c r="B268" s="8"/>
      <c r="C268" s="39">
        <f>C266+C267</f>
        <v>0.26593919999999999</v>
      </c>
      <c r="D268" s="29">
        <f t="shared" si="5"/>
        <v>432.12726547199998</v>
      </c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57"/>
    </row>
    <row r="269" spans="1:26" ht="21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57"/>
    </row>
    <row r="270" spans="1:26" ht="21" customHeight="1">
      <c r="A270" s="23" t="s">
        <v>105</v>
      </c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57"/>
    </row>
    <row r="271" spans="1:26" ht="21" customHeight="1">
      <c r="A271" s="2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57"/>
    </row>
    <row r="272" spans="1:26" ht="21" customHeight="1">
      <c r="A272" s="10" t="s">
        <v>106</v>
      </c>
      <c r="B272" s="10"/>
      <c r="C272" s="18" t="s">
        <v>85</v>
      </c>
      <c r="D272" s="18" t="s">
        <v>48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57"/>
    </row>
    <row r="273" spans="1:26" ht="21" customHeight="1">
      <c r="A273" s="19" t="s">
        <v>24</v>
      </c>
      <c r="B273" s="20" t="s">
        <v>107</v>
      </c>
      <c r="C273" s="39">
        <v>6.9999999999999999E-4</v>
      </c>
      <c r="D273" s="29">
        <f>C273*$C$217</f>
        <v>1.137437</v>
      </c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57"/>
    </row>
    <row r="274" spans="1:26" ht="21" customHeight="1">
      <c r="A274" s="19" t="s">
        <v>26</v>
      </c>
      <c r="B274" s="20" t="s">
        <v>108</v>
      </c>
      <c r="C274" s="39">
        <f>C273*C256</f>
        <v>2.5760000000000008E-4</v>
      </c>
      <c r="D274" s="29">
        <f>C274*$C$217</f>
        <v>0.41857681600000013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57"/>
    </row>
    <row r="275" spans="1:26" ht="21" customHeight="1">
      <c r="A275" s="8" t="s">
        <v>80</v>
      </c>
      <c r="B275" s="8"/>
      <c r="C275" s="39">
        <f>SUM(C273:C274)</f>
        <v>9.5760000000000007E-4</v>
      </c>
      <c r="D275" s="29">
        <f>SUM(D273:D274)</f>
        <v>1.5560138160000001</v>
      </c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57"/>
    </row>
    <row r="276" spans="1:26" ht="21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57"/>
    </row>
    <row r="277" spans="1:26" ht="21" customHeight="1">
      <c r="A277" s="23" t="s">
        <v>109</v>
      </c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57"/>
    </row>
    <row r="278" spans="1:26" ht="21" customHeight="1">
      <c r="A278" s="2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57"/>
    </row>
    <row r="279" spans="1:26" ht="21" customHeight="1">
      <c r="A279" s="10" t="s">
        <v>110</v>
      </c>
      <c r="B279" s="10"/>
      <c r="C279" s="18" t="s">
        <v>85</v>
      </c>
      <c r="D279" s="18" t="s">
        <v>48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57"/>
    </row>
    <row r="280" spans="1:26" ht="21" customHeight="1">
      <c r="A280" s="19" t="s">
        <v>24</v>
      </c>
      <c r="B280" s="20" t="s">
        <v>111</v>
      </c>
      <c r="C280" s="39">
        <v>4.1999999999999997E-3</v>
      </c>
      <c r="D280" s="29">
        <f t="shared" ref="D280:D285" si="6">C280*$C$217</f>
        <v>6.8246219999999997</v>
      </c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57"/>
    </row>
    <row r="281" spans="1:26" ht="21" customHeight="1">
      <c r="A281" s="19" t="s">
        <v>26</v>
      </c>
      <c r="B281" s="20" t="s">
        <v>112</v>
      </c>
      <c r="C281" s="39">
        <f>0.08*C280</f>
        <v>3.3599999999999998E-4</v>
      </c>
      <c r="D281" s="29">
        <f t="shared" si="6"/>
        <v>0.54596975999999997</v>
      </c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57"/>
    </row>
    <row r="282" spans="1:26" ht="21" customHeight="1">
      <c r="A282" s="19" t="s">
        <v>29</v>
      </c>
      <c r="B282" s="20" t="s">
        <v>113</v>
      </c>
      <c r="C282" s="39">
        <f>0.0435*C280</f>
        <v>1.8269999999999997E-4</v>
      </c>
      <c r="D282" s="29">
        <f t="shared" si="6"/>
        <v>0.29687105699999994</v>
      </c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57"/>
    </row>
    <row r="283" spans="1:26" ht="21" customHeight="1">
      <c r="A283" s="19" t="s">
        <v>31</v>
      </c>
      <c r="B283" s="20" t="s">
        <v>114</v>
      </c>
      <c r="C283" s="39">
        <v>4.0000000000000002E-4</v>
      </c>
      <c r="D283" s="29">
        <f t="shared" si="6"/>
        <v>0.6499640000000001</v>
      </c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57"/>
    </row>
    <row r="284" spans="1:26" ht="21" customHeight="1">
      <c r="A284" s="19" t="s">
        <v>53</v>
      </c>
      <c r="B284" s="20" t="s">
        <v>115</v>
      </c>
      <c r="C284" s="39">
        <f>C283*C256</f>
        <v>1.4720000000000005E-4</v>
      </c>
      <c r="D284" s="29">
        <f t="shared" si="6"/>
        <v>0.23918675200000011</v>
      </c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57"/>
    </row>
    <row r="285" spans="1:26" ht="21" customHeight="1">
      <c r="A285" s="19" t="s">
        <v>55</v>
      </c>
      <c r="B285" s="20" t="s">
        <v>116</v>
      </c>
      <c r="C285" s="39">
        <v>1E-4</v>
      </c>
      <c r="D285" s="29">
        <f t="shared" si="6"/>
        <v>0.16249100000000002</v>
      </c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57"/>
    </row>
    <row r="286" spans="1:26" ht="21" customHeight="1">
      <c r="A286" s="8" t="s">
        <v>80</v>
      </c>
      <c r="B286" s="8"/>
      <c r="C286" s="39">
        <f>SUM(C280:C285)</f>
        <v>5.3659000000000007E-3</v>
      </c>
      <c r="D286" s="29">
        <f>SUM(D280:D285)</f>
        <v>8.7191045689999989</v>
      </c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57"/>
    </row>
    <row r="287" spans="1:26" ht="21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57"/>
    </row>
    <row r="288" spans="1:26" ht="21" customHeight="1">
      <c r="A288" s="36" t="s">
        <v>117</v>
      </c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57"/>
    </row>
    <row r="289" spans="1:26" ht="21" customHeight="1">
      <c r="A289" s="2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57"/>
    </row>
    <row r="290" spans="1:26" ht="21" customHeight="1">
      <c r="A290" s="10" t="s">
        <v>118</v>
      </c>
      <c r="B290" s="10"/>
      <c r="C290" s="18" t="s">
        <v>85</v>
      </c>
      <c r="D290" s="18" t="s">
        <v>48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57"/>
    </row>
    <row r="291" spans="1:26" ht="21" customHeight="1">
      <c r="A291" s="19" t="s">
        <v>24</v>
      </c>
      <c r="B291" s="20" t="s">
        <v>119</v>
      </c>
      <c r="C291" s="39">
        <f>0.0833+0.0278</f>
        <v>0.1111</v>
      </c>
      <c r="D291" s="29">
        <f>C291*$C$217</f>
        <v>180.52750100000003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57"/>
    </row>
    <row r="292" spans="1:26" ht="21" customHeight="1">
      <c r="A292" s="19" t="s">
        <v>26</v>
      </c>
      <c r="B292" s="20" t="s">
        <v>120</v>
      </c>
      <c r="C292" s="39">
        <v>1.66E-2</v>
      </c>
      <c r="D292" s="29">
        <f t="shared" ref="D292:D299" si="7">C292*$C$46</f>
        <v>18.206382000000001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57"/>
    </row>
    <row r="293" spans="1:26" ht="21" customHeight="1">
      <c r="A293" s="19" t="s">
        <v>29</v>
      </c>
      <c r="B293" s="20" t="s">
        <v>121</v>
      </c>
      <c r="C293" s="39">
        <v>0</v>
      </c>
      <c r="D293" s="29">
        <f t="shared" si="7"/>
        <v>0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57"/>
    </row>
    <row r="294" spans="1:26" ht="21" customHeight="1">
      <c r="A294" s="19" t="s">
        <v>31</v>
      </c>
      <c r="B294" s="20" t="s">
        <v>122</v>
      </c>
      <c r="C294" s="39">
        <v>2.8E-3</v>
      </c>
      <c r="D294" s="29">
        <f t="shared" si="7"/>
        <v>3.0709559999999998</v>
      </c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57"/>
    </row>
    <row r="295" spans="1:26" ht="21" customHeight="1">
      <c r="A295" s="19" t="s">
        <v>53</v>
      </c>
      <c r="B295" s="20" t="s">
        <v>123</v>
      </c>
      <c r="C295" s="39">
        <v>2.9999999999999997E-4</v>
      </c>
      <c r="D295" s="29">
        <f t="shared" si="7"/>
        <v>0.32903099999999996</v>
      </c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57"/>
    </row>
    <row r="296" spans="1:26" ht="21" customHeight="1">
      <c r="A296" s="19" t="s">
        <v>55</v>
      </c>
      <c r="B296" s="20" t="s">
        <v>60</v>
      </c>
      <c r="C296" s="39"/>
      <c r="D296" s="29">
        <f t="shared" si="7"/>
        <v>0</v>
      </c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57"/>
    </row>
    <row r="297" spans="1:26" ht="21" customHeight="1">
      <c r="A297" s="21"/>
      <c r="B297" s="40" t="s">
        <v>103</v>
      </c>
      <c r="C297" s="39">
        <f>SUM(C291:C296)</f>
        <v>0.1308</v>
      </c>
      <c r="D297" s="29">
        <f t="shared" si="7"/>
        <v>143.457516</v>
      </c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57"/>
    </row>
    <row r="298" spans="1:26" ht="21" customHeight="1">
      <c r="A298" s="19" t="s">
        <v>57</v>
      </c>
      <c r="B298" s="20" t="s">
        <v>124</v>
      </c>
      <c r="C298" s="39">
        <f>C297*C256</f>
        <v>4.8134400000000015E-2</v>
      </c>
      <c r="D298" s="29">
        <f t="shared" si="7"/>
        <v>52.792365888000013</v>
      </c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57"/>
    </row>
    <row r="299" spans="1:26" ht="21" customHeight="1">
      <c r="A299" s="8" t="s">
        <v>80</v>
      </c>
      <c r="B299" s="8"/>
      <c r="C299" s="39">
        <f>C297+C298</f>
        <v>0.17893440000000002</v>
      </c>
      <c r="D299" s="29">
        <f t="shared" si="7"/>
        <v>196.24988188800003</v>
      </c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57"/>
    </row>
    <row r="300" spans="1:26" ht="21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57"/>
    </row>
    <row r="301" spans="1:26" ht="21" customHeight="1">
      <c r="A301" s="36" t="s">
        <v>125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57"/>
    </row>
    <row r="302" spans="1:26" ht="21" customHeight="1">
      <c r="A302" s="2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57"/>
    </row>
    <row r="303" spans="1:26" ht="21" customHeight="1">
      <c r="A303" s="10" t="s">
        <v>126</v>
      </c>
      <c r="B303" s="10"/>
      <c r="C303" s="18" t="s">
        <v>85</v>
      </c>
      <c r="D303" s="18" t="s">
        <v>48</v>
      </c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57"/>
    </row>
    <row r="304" spans="1:26" ht="21" customHeight="1">
      <c r="A304" s="41" t="s">
        <v>127</v>
      </c>
      <c r="B304" s="20" t="s">
        <v>128</v>
      </c>
      <c r="C304" s="39">
        <f>C256</f>
        <v>0.3680000000000001</v>
      </c>
      <c r="D304" s="29">
        <f>D256</f>
        <v>597.96688000000006</v>
      </c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57"/>
    </row>
    <row r="305" spans="1:26" ht="21" customHeight="1">
      <c r="A305" s="41" t="s">
        <v>129</v>
      </c>
      <c r="B305" s="20" t="s">
        <v>130</v>
      </c>
      <c r="C305" s="39">
        <f>C268</f>
        <v>0.26593919999999999</v>
      </c>
      <c r="D305" s="29">
        <f>D268</f>
        <v>432.12726547199998</v>
      </c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57"/>
    </row>
    <row r="306" spans="1:26" ht="21" customHeight="1">
      <c r="A306" s="41" t="s">
        <v>131</v>
      </c>
      <c r="B306" s="20" t="s">
        <v>107</v>
      </c>
      <c r="C306" s="39">
        <f>C275</f>
        <v>9.5760000000000007E-4</v>
      </c>
      <c r="D306" s="29">
        <f>D275</f>
        <v>1.5560138160000001</v>
      </c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57"/>
    </row>
    <row r="307" spans="1:26" ht="21" customHeight="1">
      <c r="A307" s="41" t="s">
        <v>132</v>
      </c>
      <c r="B307" s="20" t="s">
        <v>133</v>
      </c>
      <c r="C307" s="39">
        <f>C286</f>
        <v>5.3659000000000007E-3</v>
      </c>
      <c r="D307" s="29">
        <f>D286</f>
        <v>8.7191045689999989</v>
      </c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57"/>
    </row>
    <row r="308" spans="1:26" ht="21" customHeight="1">
      <c r="A308" s="41" t="s">
        <v>134</v>
      </c>
      <c r="B308" s="20" t="s">
        <v>135</v>
      </c>
      <c r="C308" s="39">
        <f>C299</f>
        <v>0.17893440000000002</v>
      </c>
      <c r="D308" s="29">
        <f>D299</f>
        <v>196.24988188800003</v>
      </c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57"/>
    </row>
    <row r="309" spans="1:26" ht="21" customHeight="1">
      <c r="A309" s="41" t="s">
        <v>136</v>
      </c>
      <c r="B309" s="20" t="s">
        <v>60</v>
      </c>
      <c r="C309" s="39"/>
      <c r="D309" s="2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57"/>
    </row>
    <row r="310" spans="1:26" ht="21" customHeight="1">
      <c r="A310" s="8" t="s">
        <v>80</v>
      </c>
      <c r="B310" s="8"/>
      <c r="C310" s="39">
        <f>SUM(C304:C309)</f>
        <v>0.81919710000000023</v>
      </c>
      <c r="D310" s="29">
        <f>SUM(D304:D309)</f>
        <v>1236.619145745</v>
      </c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57"/>
    </row>
    <row r="311" spans="1:26" ht="21" customHeight="1">
      <c r="A311" s="15"/>
      <c r="B311" s="15"/>
      <c r="C311" s="15"/>
      <c r="D311" s="42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7"/>
    </row>
    <row r="312" spans="1:26" ht="21" customHeight="1">
      <c r="A312" s="23" t="s">
        <v>137</v>
      </c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7"/>
    </row>
    <row r="313" spans="1:26" ht="21" customHeight="1">
      <c r="A313" s="2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7"/>
    </row>
    <row r="314" spans="1:26" ht="21" customHeight="1">
      <c r="A314" s="10" t="s">
        <v>138</v>
      </c>
      <c r="B314" s="10"/>
      <c r="C314" s="18" t="s">
        <v>85</v>
      </c>
      <c r="D314" s="18" t="s">
        <v>48</v>
      </c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57"/>
    </row>
    <row r="315" spans="1:26" ht="21" customHeight="1">
      <c r="A315" s="19" t="s">
        <v>24</v>
      </c>
      <c r="B315" s="20" t="s">
        <v>139</v>
      </c>
      <c r="C315" s="39">
        <v>0.03</v>
      </c>
      <c r="D315" s="22">
        <f>C315*C338</f>
        <v>99.934036372350008</v>
      </c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57"/>
    </row>
    <row r="316" spans="1:26" ht="21" customHeight="1">
      <c r="A316" s="19" t="s">
        <v>26</v>
      </c>
      <c r="B316" s="7" t="s">
        <v>140</v>
      </c>
      <c r="C316" s="7"/>
      <c r="D316" s="7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57"/>
    </row>
    <row r="317" spans="1:26" ht="21" customHeight="1">
      <c r="A317" s="19"/>
      <c r="B317" s="20" t="s">
        <v>141</v>
      </c>
      <c r="C317" s="39">
        <v>6.4999999999999997E-3</v>
      </c>
      <c r="D317" s="22">
        <f>(($C$338+$D$315+$D$324)/(1-$C$323))*C317</f>
        <v>26.071426275293124</v>
      </c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57"/>
    </row>
    <row r="318" spans="1:26" ht="21" customHeight="1">
      <c r="A318" s="19"/>
      <c r="B318" s="20" t="s">
        <v>142</v>
      </c>
      <c r="C318" s="39">
        <v>0.03</v>
      </c>
      <c r="D318" s="22">
        <f>(($C$338+$D$315+$D$324)/(1-$C$323))*C318</f>
        <v>120.32965973212211</v>
      </c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57"/>
    </row>
    <row r="319" spans="1:26" ht="21" customHeight="1">
      <c r="A319" s="19"/>
      <c r="B319" s="20" t="s">
        <v>143</v>
      </c>
      <c r="C319" s="39">
        <v>0</v>
      </c>
      <c r="D319" s="22">
        <f>(($C$338+$D$315+$D$324)/(1-$C$323))*C319</f>
        <v>0</v>
      </c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57"/>
    </row>
    <row r="320" spans="1:26" ht="21" customHeight="1">
      <c r="A320" s="19"/>
      <c r="B320" s="7" t="s">
        <v>144</v>
      </c>
      <c r="C320" s="7"/>
      <c r="D320" s="7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57"/>
    </row>
    <row r="321" spans="1:26" ht="21" customHeight="1">
      <c r="A321" s="19"/>
      <c r="B321" s="7" t="s">
        <v>145</v>
      </c>
      <c r="C321" s="7"/>
      <c r="D321" s="7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57"/>
    </row>
    <row r="322" spans="1:26" ht="21" customHeight="1">
      <c r="A322" s="19"/>
      <c r="B322" s="20" t="s">
        <v>146</v>
      </c>
      <c r="C322" s="39">
        <v>0.05</v>
      </c>
      <c r="D322" s="22">
        <f>(($C$338+$D$315+$D$324)/(1-$C$323))*C322</f>
        <v>200.54943288687019</v>
      </c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57"/>
    </row>
    <row r="323" spans="1:26" ht="21" customHeight="1">
      <c r="A323" s="19"/>
      <c r="B323" s="20" t="s">
        <v>147</v>
      </c>
      <c r="C323" s="39">
        <f>SUM(C317:C322)</f>
        <v>8.6499999999999994E-2</v>
      </c>
      <c r="D323" s="22">
        <f>(($C$338+$D$315+$D$324)/(1-$C$323))*C323</f>
        <v>346.95051889428538</v>
      </c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57"/>
    </row>
    <row r="324" spans="1:26" ht="21" customHeight="1">
      <c r="A324" s="19" t="s">
        <v>29</v>
      </c>
      <c r="B324" s="20" t="s">
        <v>148</v>
      </c>
      <c r="C324" s="39">
        <v>6.7900000000000002E-2</v>
      </c>
      <c r="D324" s="22">
        <f>C324*(C338+D315)</f>
        <v>232.96955672576809</v>
      </c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57"/>
    </row>
    <row r="325" spans="1:26" ht="21" customHeight="1">
      <c r="A325" s="6" t="s">
        <v>80</v>
      </c>
      <c r="B325" s="6"/>
      <c r="C325" s="44">
        <f>SUM(C315,C323,C324)</f>
        <v>0.18440000000000001</v>
      </c>
      <c r="D325" s="45">
        <f>SUM(D315,D323,D324)</f>
        <v>679.85411199240343</v>
      </c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57"/>
    </row>
    <row r="326" spans="1:26" ht="77.25" customHeight="1">
      <c r="A326" s="56" t="s">
        <v>149</v>
      </c>
      <c r="B326" s="5" t="s">
        <v>150</v>
      </c>
      <c r="C326" s="4" t="s">
        <v>151</v>
      </c>
      <c r="D326" s="4"/>
      <c r="E326" s="57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57"/>
    </row>
    <row r="327" spans="1:26" ht="77.25" customHeight="1">
      <c r="A327" s="56" t="s">
        <v>152</v>
      </c>
      <c r="B327" s="5"/>
      <c r="C327" s="4"/>
      <c r="D327" s="4"/>
      <c r="E327" s="57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57"/>
    </row>
    <row r="328" spans="1:26" ht="77.25" customHeight="1">
      <c r="A328" s="56" t="s">
        <v>153</v>
      </c>
      <c r="B328" s="5"/>
      <c r="C328" s="4"/>
      <c r="D328" s="4"/>
      <c r="E328" s="57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57"/>
    </row>
    <row r="329" spans="1:26" ht="21" customHeight="1">
      <c r="A329" s="47"/>
      <c r="B329" s="36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57"/>
    </row>
    <row r="330" spans="1:26" ht="21" customHeight="1">
      <c r="A330" s="47"/>
      <c r="B330" s="36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57"/>
    </row>
    <row r="331" spans="1:26" ht="21" customHeight="1">
      <c r="A331" s="47"/>
      <c r="B331" s="36" t="s">
        <v>154</v>
      </c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57"/>
    </row>
    <row r="332" spans="1:26" ht="21" customHeight="1">
      <c r="A332" s="2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57"/>
    </row>
    <row r="333" spans="1:26" ht="21" customHeight="1">
      <c r="A333" s="10" t="s">
        <v>155</v>
      </c>
      <c r="B333" s="10"/>
      <c r="C333" s="18" t="s">
        <v>48</v>
      </c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57"/>
    </row>
    <row r="334" spans="1:26" ht="21" customHeight="1">
      <c r="A334" s="19" t="s">
        <v>24</v>
      </c>
      <c r="B334" s="20" t="s">
        <v>46</v>
      </c>
      <c r="C334" s="22">
        <f>C217</f>
        <v>1624.91</v>
      </c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57"/>
    </row>
    <row r="335" spans="1:26" ht="21" customHeight="1">
      <c r="A335" s="19" t="s">
        <v>26</v>
      </c>
      <c r="B335" s="20" t="s">
        <v>63</v>
      </c>
      <c r="C335" s="22">
        <f>C230</f>
        <v>469.60540000000003</v>
      </c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57"/>
    </row>
    <row r="336" spans="1:26" ht="21" customHeight="1">
      <c r="A336" s="19" t="s">
        <v>29</v>
      </c>
      <c r="B336" s="20" t="s">
        <v>156</v>
      </c>
      <c r="C336" s="22">
        <f>C240</f>
        <v>0</v>
      </c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57"/>
    </row>
    <row r="337" spans="1:26" ht="21" customHeight="1">
      <c r="A337" s="19" t="s">
        <v>31</v>
      </c>
      <c r="B337" s="20" t="s">
        <v>157</v>
      </c>
      <c r="C337" s="22">
        <f>D310</f>
        <v>1236.619145745</v>
      </c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57"/>
    </row>
    <row r="338" spans="1:26" ht="21" customHeight="1">
      <c r="A338" s="21"/>
      <c r="B338" s="40" t="s">
        <v>158</v>
      </c>
      <c r="C338" s="22">
        <f>SUM(C334:C337)</f>
        <v>3331.1345457450002</v>
      </c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57"/>
    </row>
    <row r="339" spans="1:26" ht="21" customHeight="1">
      <c r="A339" s="19" t="s">
        <v>53</v>
      </c>
      <c r="B339" s="20" t="s">
        <v>137</v>
      </c>
      <c r="C339" s="22">
        <f>D325</f>
        <v>679.85411199240343</v>
      </c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57"/>
    </row>
    <row r="340" spans="1:26" ht="21" customHeight="1">
      <c r="A340" s="8" t="s">
        <v>159</v>
      </c>
      <c r="B340" s="8"/>
      <c r="C340" s="58">
        <f>C338+C339</f>
        <v>4010.9886577374036</v>
      </c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57"/>
    </row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9">
    <mergeCell ref="B326:B328"/>
    <mergeCell ref="C326:D328"/>
    <mergeCell ref="A333:B333"/>
    <mergeCell ref="A340:B340"/>
    <mergeCell ref="A314:B314"/>
    <mergeCell ref="B316:D316"/>
    <mergeCell ref="B320:D320"/>
    <mergeCell ref="B321:D321"/>
    <mergeCell ref="A325:B325"/>
    <mergeCell ref="A286:B286"/>
    <mergeCell ref="A290:B290"/>
    <mergeCell ref="A299:B299"/>
    <mergeCell ref="A303:B303"/>
    <mergeCell ref="A310:B310"/>
    <mergeCell ref="A262:B262"/>
    <mergeCell ref="A268:B268"/>
    <mergeCell ref="A272:B272"/>
    <mergeCell ref="A275:B275"/>
    <mergeCell ref="A279:B279"/>
    <mergeCell ref="A230:B230"/>
    <mergeCell ref="A235:B235"/>
    <mergeCell ref="A240:B240"/>
    <mergeCell ref="A247:B247"/>
    <mergeCell ref="A256:B256"/>
    <mergeCell ref="A182:C182"/>
    <mergeCell ref="A200:C200"/>
    <mergeCell ref="A208:B208"/>
    <mergeCell ref="A217:B217"/>
    <mergeCell ref="A222:B222"/>
    <mergeCell ref="A173:C173"/>
    <mergeCell ref="A175:C175"/>
    <mergeCell ref="A176:C176"/>
    <mergeCell ref="A178:C178"/>
    <mergeCell ref="B181:C181"/>
    <mergeCell ref="B155:B157"/>
    <mergeCell ref="C155:D157"/>
    <mergeCell ref="D159:E159"/>
    <mergeCell ref="A162:B162"/>
    <mergeCell ref="A169:B169"/>
    <mergeCell ref="A143:B143"/>
    <mergeCell ref="B145:D145"/>
    <mergeCell ref="B149:D149"/>
    <mergeCell ref="B150:D150"/>
    <mergeCell ref="A154:B154"/>
    <mergeCell ref="A115:B115"/>
    <mergeCell ref="A119:B119"/>
    <mergeCell ref="A128:B128"/>
    <mergeCell ref="A132:B132"/>
    <mergeCell ref="A139:B139"/>
    <mergeCell ref="A91:B91"/>
    <mergeCell ref="A97:B97"/>
    <mergeCell ref="A101:B101"/>
    <mergeCell ref="A104:B104"/>
    <mergeCell ref="A108:B108"/>
    <mergeCell ref="A59:B59"/>
    <mergeCell ref="A64:B64"/>
    <mergeCell ref="A69:B69"/>
    <mergeCell ref="A76:B76"/>
    <mergeCell ref="A85:B85"/>
    <mergeCell ref="A10:C10"/>
    <mergeCell ref="A29:C29"/>
    <mergeCell ref="A37:B37"/>
    <mergeCell ref="A46:B46"/>
    <mergeCell ref="A51:B51"/>
    <mergeCell ref="A1:C1"/>
    <mergeCell ref="A3:C3"/>
    <mergeCell ref="A4:C4"/>
    <mergeCell ref="A6:C6"/>
    <mergeCell ref="B9:C9"/>
  </mergeCells>
  <pageMargins left="0.78749999999999998" right="0.39374999999999999" top="0.59027777777777801" bottom="0.39374999999999999" header="0.51180555555555496" footer="0"/>
  <pageSetup paperSize="9" firstPageNumber="0" fitToHeight="0" orientation="portrait" horizontalDpi="300" verticalDpi="300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6"/>
  <sheetViews>
    <sheetView topLeftCell="B23" workbookViewId="0">
      <selection activeCell="E45" sqref="E45"/>
    </sheetView>
  </sheetViews>
  <sheetFormatPr defaultRowHeight="15"/>
  <cols>
    <col min="1" max="1" width="63.7109375"/>
    <col min="2" max="2" width="37.5703125"/>
    <col min="3" max="3" width="37.140625"/>
    <col min="4" max="4" width="28.140625"/>
    <col min="5" max="5" width="23"/>
    <col min="6" max="6" width="19.85546875"/>
    <col min="7" max="26" width="14"/>
  </cols>
  <sheetData>
    <row r="1" spans="1:26" ht="26.25">
      <c r="A1" s="1" t="s">
        <v>173</v>
      </c>
      <c r="B1" s="1"/>
      <c r="C1" s="1"/>
      <c r="D1" s="1"/>
      <c r="E1" s="1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7.25" customHeight="1">
      <c r="A2" s="6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7.25" customHeight="1">
      <c r="A3" s="61" t="s">
        <v>174</v>
      </c>
      <c r="B3" s="61" t="s">
        <v>175</v>
      </c>
      <c r="C3" s="61" t="s">
        <v>176</v>
      </c>
      <c r="D3" s="62" t="s">
        <v>177</v>
      </c>
      <c r="E3" s="61" t="s">
        <v>178</v>
      </c>
      <c r="F3" s="61" t="s">
        <v>179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17.25" customHeight="1">
      <c r="A4" s="63" t="s">
        <v>180</v>
      </c>
      <c r="B4" s="63" t="s">
        <v>181</v>
      </c>
      <c r="C4" s="64">
        <v>196</v>
      </c>
      <c r="D4" s="65">
        <v>31.92</v>
      </c>
      <c r="E4" s="66">
        <f t="shared" ref="E4:E25" si="0">D4*C4</f>
        <v>6256.3200000000006</v>
      </c>
      <c r="F4" s="66">
        <f t="shared" ref="F4:F26" si="1">E4*12</f>
        <v>75075.840000000011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7.25" customHeight="1">
      <c r="A5" s="67" t="s">
        <v>182</v>
      </c>
      <c r="B5" s="63" t="s">
        <v>181</v>
      </c>
      <c r="C5" s="68">
        <v>196</v>
      </c>
      <c r="D5" s="65">
        <v>20.45</v>
      </c>
      <c r="E5" s="66">
        <f t="shared" si="0"/>
        <v>4008.2</v>
      </c>
      <c r="F5" s="66">
        <f t="shared" si="1"/>
        <v>48098.399999999994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7.25" customHeight="1">
      <c r="A6" s="63" t="s">
        <v>183</v>
      </c>
      <c r="B6" s="63" t="s">
        <v>181</v>
      </c>
      <c r="C6" s="64">
        <v>196</v>
      </c>
      <c r="D6" s="65">
        <v>8.9700000000000006</v>
      </c>
      <c r="E6" s="66">
        <f t="shared" si="0"/>
        <v>1758.1200000000001</v>
      </c>
      <c r="F6" s="66">
        <f t="shared" si="1"/>
        <v>21097.440000000002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7.25" customHeight="1">
      <c r="A7" s="67" t="s">
        <v>184</v>
      </c>
      <c r="B7" s="63" t="s">
        <v>185</v>
      </c>
      <c r="C7" s="68">
        <f>10*98</f>
        <v>980</v>
      </c>
      <c r="D7" s="65">
        <v>2.2000000000000002</v>
      </c>
      <c r="E7" s="66">
        <f t="shared" si="0"/>
        <v>2156</v>
      </c>
      <c r="F7" s="66">
        <f t="shared" si="1"/>
        <v>25872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7.25" customHeight="1">
      <c r="A8" s="63" t="s">
        <v>186</v>
      </c>
      <c r="B8" s="63" t="s">
        <v>187</v>
      </c>
      <c r="C8" s="64">
        <f>12*98</f>
        <v>1176</v>
      </c>
      <c r="D8" s="65">
        <v>5.93</v>
      </c>
      <c r="E8" s="66">
        <f t="shared" si="0"/>
        <v>6973.6799999999994</v>
      </c>
      <c r="F8" s="66">
        <f t="shared" si="1"/>
        <v>83684.159999999989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7.25" customHeight="1">
      <c r="A9" s="67" t="s">
        <v>188</v>
      </c>
      <c r="B9" s="63" t="s">
        <v>189</v>
      </c>
      <c r="C9" s="68">
        <f>4*98</f>
        <v>392</v>
      </c>
      <c r="D9" s="65">
        <v>1.17</v>
      </c>
      <c r="E9" s="66">
        <f t="shared" si="0"/>
        <v>458.64</v>
      </c>
      <c r="F9" s="66">
        <f t="shared" si="1"/>
        <v>5503.68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7.25" customHeight="1">
      <c r="A10" s="63" t="s">
        <v>190</v>
      </c>
      <c r="B10" s="63" t="s">
        <v>191</v>
      </c>
      <c r="C10" s="64">
        <f>4*98</f>
        <v>392</v>
      </c>
      <c r="D10" s="65">
        <v>7.25</v>
      </c>
      <c r="E10" s="66">
        <f t="shared" si="0"/>
        <v>2842</v>
      </c>
      <c r="F10" s="66">
        <f t="shared" si="1"/>
        <v>34104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7.25" customHeight="1">
      <c r="A11" s="67" t="s">
        <v>192</v>
      </c>
      <c r="B11" s="63" t="s">
        <v>193</v>
      </c>
      <c r="C11" s="68">
        <f>8*98</f>
        <v>784</v>
      </c>
      <c r="D11" s="65">
        <v>1.51</v>
      </c>
      <c r="E11" s="66">
        <f t="shared" si="0"/>
        <v>1183.8399999999999</v>
      </c>
      <c r="F11" s="66">
        <f t="shared" si="1"/>
        <v>14206.079999999998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7.25" customHeight="1">
      <c r="A12" s="63" t="s">
        <v>194</v>
      </c>
      <c r="B12" s="63" t="s">
        <v>195</v>
      </c>
      <c r="C12" s="64">
        <f>4*98</f>
        <v>392</v>
      </c>
      <c r="D12" s="65">
        <v>1.44</v>
      </c>
      <c r="E12" s="66">
        <f t="shared" si="0"/>
        <v>564.48</v>
      </c>
      <c r="F12" s="66">
        <f t="shared" si="1"/>
        <v>6773.76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7.25" customHeight="1">
      <c r="A13" s="63" t="s">
        <v>196</v>
      </c>
      <c r="B13" s="63" t="s">
        <v>197</v>
      </c>
      <c r="C13" s="64">
        <f>6*98</f>
        <v>588</v>
      </c>
      <c r="D13" s="65">
        <v>0.59</v>
      </c>
      <c r="E13" s="66">
        <f t="shared" si="0"/>
        <v>346.91999999999996</v>
      </c>
      <c r="F13" s="66">
        <f t="shared" si="1"/>
        <v>4163.0399999999991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7.25" customHeight="1">
      <c r="A14" s="67" t="s">
        <v>198</v>
      </c>
      <c r="B14" s="69" t="s">
        <v>199</v>
      </c>
      <c r="C14" s="68">
        <v>447</v>
      </c>
      <c r="D14" s="65">
        <v>15.4</v>
      </c>
      <c r="E14" s="66">
        <f t="shared" si="0"/>
        <v>6883.8</v>
      </c>
      <c r="F14" s="66">
        <f t="shared" si="1"/>
        <v>82605.600000000006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7.25" customHeight="1">
      <c r="A15" s="63" t="s">
        <v>200</v>
      </c>
      <c r="B15" s="63" t="s">
        <v>201</v>
      </c>
      <c r="C15" s="64">
        <f>98*5</f>
        <v>490</v>
      </c>
      <c r="D15" s="65">
        <v>66.63</v>
      </c>
      <c r="E15" s="66">
        <f t="shared" si="0"/>
        <v>32648.699999999997</v>
      </c>
      <c r="F15" s="66">
        <f t="shared" si="1"/>
        <v>391784.39999999997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7.25" customHeight="1">
      <c r="A16" s="67" t="s">
        <v>202</v>
      </c>
      <c r="B16" s="63" t="s">
        <v>203</v>
      </c>
      <c r="C16" s="68">
        <f>1*98</f>
        <v>98</v>
      </c>
      <c r="D16" s="65">
        <v>4.54</v>
      </c>
      <c r="E16" s="66">
        <f t="shared" si="0"/>
        <v>444.92</v>
      </c>
      <c r="F16" s="66">
        <f t="shared" si="1"/>
        <v>5339.04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7.25" customHeight="1">
      <c r="A17" s="63" t="s">
        <v>204</v>
      </c>
      <c r="B17" s="63" t="s">
        <v>205</v>
      </c>
      <c r="C17" s="64">
        <f>3*98</f>
        <v>294</v>
      </c>
      <c r="D17" s="65">
        <v>3.47</v>
      </c>
      <c r="E17" s="66">
        <f t="shared" si="0"/>
        <v>1020.1800000000001</v>
      </c>
      <c r="F17" s="66">
        <f t="shared" si="1"/>
        <v>12242.16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7.25" customHeight="1">
      <c r="A18" s="63" t="s">
        <v>206</v>
      </c>
      <c r="B18" s="63" t="s">
        <v>207</v>
      </c>
      <c r="C18" s="64">
        <f>6*98</f>
        <v>588</v>
      </c>
      <c r="D18" s="65">
        <v>5.55</v>
      </c>
      <c r="E18" s="66">
        <f t="shared" si="0"/>
        <v>3263.4</v>
      </c>
      <c r="F18" s="66">
        <f t="shared" si="1"/>
        <v>39160.800000000003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7.25" customHeight="1">
      <c r="A19" s="63" t="s">
        <v>208</v>
      </c>
      <c r="B19" s="63" t="s">
        <v>207</v>
      </c>
      <c r="C19" s="64">
        <f>6*98</f>
        <v>588</v>
      </c>
      <c r="D19" s="65">
        <v>32.619999999999997</v>
      </c>
      <c r="E19" s="66">
        <f t="shared" si="0"/>
        <v>19180.559999999998</v>
      </c>
      <c r="F19" s="66">
        <f t="shared" si="1"/>
        <v>230166.71999999997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7.25" customHeight="1">
      <c r="A20" s="67" t="s">
        <v>209</v>
      </c>
      <c r="B20" s="63" t="s">
        <v>210</v>
      </c>
      <c r="C20" s="68">
        <f>5*98</f>
        <v>490</v>
      </c>
      <c r="D20" s="65">
        <v>6.84</v>
      </c>
      <c r="E20" s="66">
        <f t="shared" si="0"/>
        <v>3351.6</v>
      </c>
      <c r="F20" s="66">
        <f t="shared" si="1"/>
        <v>40219.199999999997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34.5">
      <c r="A21" s="63" t="s">
        <v>211</v>
      </c>
      <c r="B21" s="63" t="s">
        <v>212</v>
      </c>
      <c r="C21" s="64">
        <f>8*98</f>
        <v>784</v>
      </c>
      <c r="D21" s="65">
        <v>28</v>
      </c>
      <c r="E21" s="66">
        <f t="shared" si="0"/>
        <v>21952</v>
      </c>
      <c r="F21" s="66">
        <f t="shared" si="1"/>
        <v>263424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7.25" customHeight="1">
      <c r="A22" s="63" t="s">
        <v>213</v>
      </c>
      <c r="B22" s="63" t="s">
        <v>193</v>
      </c>
      <c r="C22" s="64">
        <f>8*98</f>
        <v>784</v>
      </c>
      <c r="D22" s="65">
        <v>8.6199999999999992</v>
      </c>
      <c r="E22" s="66">
        <f t="shared" si="0"/>
        <v>6758.079999999999</v>
      </c>
      <c r="F22" s="66">
        <f t="shared" si="1"/>
        <v>81096.959999999992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7.25" customHeight="1">
      <c r="A23" s="63" t="s">
        <v>214</v>
      </c>
      <c r="B23" s="63" t="s">
        <v>215</v>
      </c>
      <c r="C23" s="64">
        <v>196</v>
      </c>
      <c r="D23" s="65">
        <v>3.76</v>
      </c>
      <c r="E23" s="66">
        <f t="shared" si="0"/>
        <v>736.95999999999992</v>
      </c>
      <c r="F23" s="66">
        <f t="shared" si="1"/>
        <v>8843.5199999999986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7.25" customHeight="1">
      <c r="A24" s="67" t="s">
        <v>216</v>
      </c>
      <c r="B24" s="63" t="s">
        <v>215</v>
      </c>
      <c r="C24" s="68">
        <f>2*98</f>
        <v>196</v>
      </c>
      <c r="D24" s="65">
        <v>1.86</v>
      </c>
      <c r="E24" s="66">
        <f t="shared" si="0"/>
        <v>364.56</v>
      </c>
      <c r="F24" s="66">
        <f t="shared" si="1"/>
        <v>4374.72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7.25" customHeight="1">
      <c r="A25" s="70" t="s">
        <v>217</v>
      </c>
      <c r="B25" s="71" t="s">
        <v>218</v>
      </c>
      <c r="C25" s="72">
        <f>98*2</f>
        <v>196</v>
      </c>
      <c r="D25" s="73">
        <v>109</v>
      </c>
      <c r="E25" s="74">
        <f t="shared" si="0"/>
        <v>21364</v>
      </c>
      <c r="F25" s="74">
        <f t="shared" si="1"/>
        <v>256368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7.25" customHeight="1">
      <c r="A26" s="167" t="s">
        <v>219</v>
      </c>
      <c r="B26" s="167"/>
      <c r="C26" s="167"/>
      <c r="D26" s="75"/>
      <c r="E26" s="66">
        <f>SUM(E4:E25)</f>
        <v>144516.96</v>
      </c>
      <c r="F26" s="66">
        <f t="shared" si="1"/>
        <v>1734203.52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7.25" customHeight="1">
      <c r="A27" s="168"/>
      <c r="B27" s="168"/>
      <c r="C27" s="168"/>
      <c r="D27" s="168"/>
      <c r="E27" s="76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7.25" customHeight="1">
      <c r="A28" s="60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26.25">
      <c r="A29" s="1" t="s">
        <v>220</v>
      </c>
      <c r="B29" s="1"/>
      <c r="C29" s="1"/>
      <c r="D29" s="1"/>
      <c r="E29" s="1"/>
      <c r="F29" s="77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7.25">
      <c r="A30" s="78" t="s">
        <v>221</v>
      </c>
      <c r="B30" s="79" t="s">
        <v>175</v>
      </c>
      <c r="C30" s="80" t="s">
        <v>222</v>
      </c>
      <c r="D30" s="81" t="s">
        <v>223</v>
      </c>
      <c r="E30" s="80" t="s">
        <v>179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6" ht="17.25">
      <c r="A31" s="82" t="s">
        <v>224</v>
      </c>
      <c r="B31" s="83" t="s">
        <v>225</v>
      </c>
      <c r="C31" s="84">
        <f>3*98</f>
        <v>294</v>
      </c>
      <c r="D31" s="85">
        <v>7.42</v>
      </c>
      <c r="E31" s="86">
        <f t="shared" ref="E31:E42" si="2">D31*C31</f>
        <v>2181.48</v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6" ht="17.25">
      <c r="A32" s="87" t="s">
        <v>226</v>
      </c>
      <c r="B32" s="88" t="s">
        <v>227</v>
      </c>
      <c r="C32" s="89">
        <f>2*98</f>
        <v>196</v>
      </c>
      <c r="D32" s="85">
        <v>2.61</v>
      </c>
      <c r="E32" s="86">
        <f t="shared" si="2"/>
        <v>511.56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  <row r="33" spans="1:26" ht="17.25">
      <c r="A33" s="87" t="s">
        <v>228</v>
      </c>
      <c r="B33" s="88" t="s">
        <v>229</v>
      </c>
      <c r="C33" s="89">
        <f>4*98</f>
        <v>392</v>
      </c>
      <c r="D33" s="85">
        <v>5.07</v>
      </c>
      <c r="E33" s="86">
        <f t="shared" si="2"/>
        <v>1987.44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6" ht="60">
      <c r="A34" s="90" t="s">
        <v>230</v>
      </c>
      <c r="B34" s="90" t="s">
        <v>231</v>
      </c>
      <c r="C34" s="84">
        <v>1662</v>
      </c>
      <c r="D34" s="85">
        <v>18.05</v>
      </c>
      <c r="E34" s="86">
        <f t="shared" si="2"/>
        <v>29999.100000000002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6" ht="60">
      <c r="A35" s="90" t="s">
        <v>232</v>
      </c>
      <c r="B35" s="90" t="s">
        <v>233</v>
      </c>
      <c r="C35" s="89">
        <v>1662</v>
      </c>
      <c r="D35" s="85">
        <v>23.78</v>
      </c>
      <c r="E35" s="86">
        <f t="shared" si="2"/>
        <v>39522.36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26" ht="45">
      <c r="A36" s="90" t="s">
        <v>234</v>
      </c>
      <c r="B36" s="90" t="s">
        <v>235</v>
      </c>
      <c r="C36" s="84">
        <v>1174</v>
      </c>
      <c r="D36" s="85">
        <v>21.33</v>
      </c>
      <c r="E36" s="86">
        <f t="shared" si="2"/>
        <v>25041.42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</row>
    <row r="37" spans="1:26" ht="17.25">
      <c r="A37" s="87" t="s">
        <v>236</v>
      </c>
      <c r="B37" s="88" t="s">
        <v>225</v>
      </c>
      <c r="C37" s="84">
        <f>3*98</f>
        <v>294</v>
      </c>
      <c r="D37" s="85">
        <v>3.42</v>
      </c>
      <c r="E37" s="86">
        <f t="shared" si="2"/>
        <v>1005.48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</row>
    <row r="38" spans="1:26" ht="17.25">
      <c r="A38" s="87" t="s">
        <v>237</v>
      </c>
      <c r="B38" s="88" t="s">
        <v>225</v>
      </c>
      <c r="C38" s="84">
        <f>3*98</f>
        <v>294</v>
      </c>
      <c r="D38" s="85">
        <v>35.130000000000003</v>
      </c>
      <c r="E38" s="86">
        <f t="shared" si="2"/>
        <v>10328.220000000001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 spans="1:26" ht="17.25" customHeight="1">
      <c r="A39" s="87" t="s">
        <v>238</v>
      </c>
      <c r="B39" s="88" t="s">
        <v>225</v>
      </c>
      <c r="C39" s="84">
        <f>3*98</f>
        <v>294</v>
      </c>
      <c r="D39" s="85">
        <v>7.2</v>
      </c>
      <c r="E39" s="86">
        <f t="shared" si="2"/>
        <v>2116.8000000000002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6" ht="17.25" customHeight="1">
      <c r="A40" s="87" t="s">
        <v>239</v>
      </c>
      <c r="B40" s="88" t="s">
        <v>225</v>
      </c>
      <c r="C40" s="84">
        <f>3*98</f>
        <v>294</v>
      </c>
      <c r="D40" s="85">
        <v>7.26</v>
      </c>
      <c r="E40" s="86">
        <f t="shared" si="2"/>
        <v>2134.44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</row>
    <row r="41" spans="1:26" ht="17.25" customHeight="1">
      <c r="A41" s="87" t="s">
        <v>240</v>
      </c>
      <c r="B41" s="88" t="s">
        <v>225</v>
      </c>
      <c r="C41" s="84">
        <f>3*98</f>
        <v>294</v>
      </c>
      <c r="D41" s="85">
        <v>8.6999999999999993</v>
      </c>
      <c r="E41" s="86">
        <f t="shared" si="2"/>
        <v>2557.7999999999997</v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6" ht="17.25" customHeight="1">
      <c r="A42" s="91" t="s">
        <v>241</v>
      </c>
      <c r="B42" s="92" t="s">
        <v>242</v>
      </c>
      <c r="C42" s="93">
        <v>95</v>
      </c>
      <c r="D42" s="85">
        <v>318.5</v>
      </c>
      <c r="E42" s="86">
        <f t="shared" si="2"/>
        <v>30257.5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6" ht="17.25" customHeight="1">
      <c r="A43" s="169" t="s">
        <v>243</v>
      </c>
      <c r="B43" s="169"/>
      <c r="C43" s="169"/>
      <c r="D43" s="94"/>
      <c r="E43" s="95">
        <f>SUM(E31:E42)</f>
        <v>147643.6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</row>
    <row r="44" spans="1:26" ht="17.25" customHeight="1">
      <c r="A44" s="96"/>
      <c r="B44" s="57"/>
      <c r="C44" s="97"/>
      <c r="D44" s="98"/>
      <c r="E44" s="97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</row>
    <row r="45" spans="1:26" ht="17.25" customHeight="1">
      <c r="A45" s="96"/>
      <c r="B45" s="57"/>
      <c r="C45" s="97"/>
      <c r="D45" s="98"/>
      <c r="E45" s="97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33.75">
      <c r="A46" s="170" t="s">
        <v>244</v>
      </c>
      <c r="B46" s="170"/>
      <c r="C46" s="170"/>
      <c r="D46" s="170"/>
      <c r="E46" s="170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7.25" customHeight="1">
      <c r="A47" s="99" t="s">
        <v>221</v>
      </c>
      <c r="B47" s="80" t="s">
        <v>175</v>
      </c>
      <c r="C47" s="100" t="s">
        <v>245</v>
      </c>
      <c r="D47" s="101" t="s">
        <v>246</v>
      </c>
      <c r="E47" s="101" t="s">
        <v>179</v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54.75" customHeight="1">
      <c r="A48" s="102" t="s">
        <v>247</v>
      </c>
      <c r="B48" s="103" t="s">
        <v>248</v>
      </c>
      <c r="C48" s="104">
        <f>447*4</f>
        <v>1788</v>
      </c>
      <c r="D48" s="105">
        <v>50.02</v>
      </c>
      <c r="E48" s="105">
        <f t="shared" ref="E48:E54" si="3">D48*C48</f>
        <v>89435.760000000009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66.75" customHeight="1">
      <c r="A49" s="90" t="s">
        <v>249</v>
      </c>
      <c r="B49" s="106" t="s">
        <v>250</v>
      </c>
      <c r="C49" s="104">
        <v>1788</v>
      </c>
      <c r="D49" s="105">
        <v>12.9</v>
      </c>
      <c r="E49" s="105">
        <f t="shared" si="3"/>
        <v>23065.200000000001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85.5" customHeight="1">
      <c r="A50" s="107" t="s">
        <v>251</v>
      </c>
      <c r="B50" s="90" t="s">
        <v>252</v>
      </c>
      <c r="C50" s="104">
        <f>447*2</f>
        <v>894</v>
      </c>
      <c r="D50" s="105">
        <v>36.49</v>
      </c>
      <c r="E50" s="105">
        <f t="shared" si="3"/>
        <v>32622.06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55.5" customHeight="1">
      <c r="A51" s="102" t="s">
        <v>253</v>
      </c>
      <c r="B51" s="90" t="s">
        <v>254</v>
      </c>
      <c r="C51" s="104">
        <f>221*447*2</f>
        <v>197574</v>
      </c>
      <c r="D51" s="105">
        <v>0.9</v>
      </c>
      <c r="E51" s="105">
        <f t="shared" si="3"/>
        <v>177816.6</v>
      </c>
      <c r="F51" s="108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61.5" customHeight="1">
      <c r="A52" s="102" t="s">
        <v>255</v>
      </c>
      <c r="B52" s="109" t="s">
        <v>256</v>
      </c>
      <c r="C52" s="104">
        <v>10728</v>
      </c>
      <c r="D52" s="105">
        <v>4.5</v>
      </c>
      <c r="E52" s="105">
        <f t="shared" si="3"/>
        <v>48276</v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72.75" customHeight="1">
      <c r="A53" s="82" t="s">
        <v>257</v>
      </c>
      <c r="B53" s="110" t="s">
        <v>258</v>
      </c>
      <c r="C53" s="111">
        <v>447</v>
      </c>
      <c r="D53" s="105">
        <v>2.61</v>
      </c>
      <c r="E53" s="105">
        <f t="shared" si="3"/>
        <v>1166.6699999999998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60.75">
      <c r="A54" s="112" t="s">
        <v>259</v>
      </c>
      <c r="B54" s="113" t="s">
        <v>260</v>
      </c>
      <c r="C54" s="114">
        <f>447*12</f>
        <v>5364</v>
      </c>
      <c r="D54" s="105">
        <v>2.79</v>
      </c>
      <c r="E54" s="105">
        <f t="shared" si="3"/>
        <v>14965.56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7.25" customHeight="1">
      <c r="A55" s="169" t="s">
        <v>261</v>
      </c>
      <c r="B55" s="169"/>
      <c r="C55" s="169"/>
      <c r="D55" s="115"/>
      <c r="E55" s="116">
        <f>SUM(E48:E54)</f>
        <v>387347.85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7.25" customHeight="1">
      <c r="A56" s="117"/>
      <c r="B56" s="118"/>
      <c r="C56" s="118"/>
      <c r="D56" s="119"/>
      <c r="E56" s="120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</sheetData>
  <mergeCells count="7">
    <mergeCell ref="A46:E46"/>
    <mergeCell ref="A55:C55"/>
    <mergeCell ref="A1:E1"/>
    <mergeCell ref="A26:C26"/>
    <mergeCell ref="A27:D27"/>
    <mergeCell ref="A29:E29"/>
    <mergeCell ref="A43:C43"/>
  </mergeCells>
  <pageMargins left="0.78749999999999998" right="0.39374999999999999" top="0.78749999999999998" bottom="0.39374999999999999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2"/>
  <sheetViews>
    <sheetView showGridLines="0" tabSelected="1" workbookViewId="0">
      <selection activeCell="A27" sqref="A27"/>
    </sheetView>
  </sheetViews>
  <sheetFormatPr defaultRowHeight="15"/>
  <cols>
    <col min="1" max="1" width="26.7109375"/>
    <col min="2" max="2" width="18.85546875"/>
    <col min="3" max="3" width="20.5703125"/>
    <col min="4" max="4" width="26.140625"/>
    <col min="5" max="5" width="13.42578125"/>
    <col min="6" max="6" width="16"/>
    <col min="7" max="7" width="35.5703125"/>
    <col min="8" max="8" width="15.85546875"/>
    <col min="9" max="9" width="15.5703125"/>
    <col min="10" max="26" width="8.42578125"/>
  </cols>
  <sheetData>
    <row r="1" spans="1:26" ht="15.75" customHeight="1">
      <c r="A1" s="121"/>
      <c r="B1" s="57"/>
      <c r="C1" s="57"/>
      <c r="D1" s="57"/>
      <c r="E1" s="57"/>
      <c r="F1" s="57"/>
      <c r="G1" s="57"/>
      <c r="H1" s="57"/>
      <c r="I1" s="57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ht="26.25">
      <c r="A2" s="171" t="s">
        <v>262</v>
      </c>
      <c r="B2" s="171"/>
      <c r="C2" s="171"/>
      <c r="D2" s="171"/>
      <c r="E2" s="171"/>
      <c r="F2" s="171"/>
      <c r="G2" s="171"/>
      <c r="H2" s="123"/>
      <c r="I2" s="123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26" ht="15.75" customHeight="1">
      <c r="A3" s="172" t="s">
        <v>263</v>
      </c>
      <c r="B3" s="172"/>
      <c r="C3" s="172"/>
      <c r="D3" s="17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</row>
    <row r="4" spans="1:26" ht="15.75" customHeight="1">
      <c r="A4" s="173" t="s">
        <v>264</v>
      </c>
      <c r="B4" s="124" t="s">
        <v>265</v>
      </c>
      <c r="C4" s="124" t="s">
        <v>266</v>
      </c>
      <c r="D4" s="124" t="s">
        <v>267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</row>
    <row r="5" spans="1:26" ht="15.75" customHeight="1">
      <c r="A5" s="173"/>
      <c r="B5" s="125" t="s">
        <v>268</v>
      </c>
      <c r="C5" s="125" t="s">
        <v>269</v>
      </c>
      <c r="D5" s="125" t="s">
        <v>270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</row>
    <row r="6" spans="1:26" ht="15.75" customHeight="1">
      <c r="A6" s="173"/>
      <c r="B6" s="126" t="s">
        <v>271</v>
      </c>
      <c r="C6" s="126" t="s">
        <v>272</v>
      </c>
      <c r="D6" s="126" t="s">
        <v>273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</row>
    <row r="7" spans="1:26" ht="31.5">
      <c r="A7" s="127" t="s">
        <v>274</v>
      </c>
      <c r="B7" s="128">
        <f>1/800</f>
        <v>1.25E-3</v>
      </c>
      <c r="C7" s="129">
        <f>'Servente E Enc.'!C169</f>
        <v>3438.661251711103</v>
      </c>
      <c r="D7" s="130">
        <f>C7*B7</f>
        <v>4.2983265646388791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</row>
    <row r="8" spans="1:26" ht="31.5">
      <c r="A8" s="127" t="s">
        <v>275</v>
      </c>
      <c r="B8" s="128">
        <f>1/1200</f>
        <v>8.3333333333333339E-4</v>
      </c>
      <c r="C8" s="129">
        <f>'Servente E Enc.'!C169</f>
        <v>3438.661251711103</v>
      </c>
      <c r="D8" s="130">
        <f>C8*B8</f>
        <v>2.8655510430925859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spans="1:26" ht="15.75" customHeight="1">
      <c r="A9" s="131" t="s">
        <v>276</v>
      </c>
      <c r="B9" s="132">
        <f>SUM(B7:B8)</f>
        <v>2.0833333333333333E-3</v>
      </c>
      <c r="C9" s="133">
        <f>C8</f>
        <v>3438.661251711103</v>
      </c>
      <c r="D9" s="133">
        <f>SUM(D7:D8)</f>
        <v>7.1638776077314645</v>
      </c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</row>
    <row r="10" spans="1:26" ht="15.75" customHeight="1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</row>
    <row r="11" spans="1:26" ht="15.75" customHeight="1">
      <c r="A11" s="172" t="s">
        <v>277</v>
      </c>
      <c r="B11" s="172"/>
      <c r="C11" s="172"/>
      <c r="D11" s="17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</row>
    <row r="12" spans="1:26" ht="15.75" customHeight="1">
      <c r="A12" s="173" t="s">
        <v>264</v>
      </c>
      <c r="B12" s="124" t="s">
        <v>265</v>
      </c>
      <c r="C12" s="124" t="s">
        <v>266</v>
      </c>
      <c r="D12" s="124" t="s">
        <v>267</v>
      </c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</row>
    <row r="13" spans="1:26" ht="15.75" customHeight="1">
      <c r="A13" s="173"/>
      <c r="B13" s="125" t="s">
        <v>268</v>
      </c>
      <c r="C13" s="125" t="s">
        <v>269</v>
      </c>
      <c r="D13" s="125" t="s">
        <v>270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</row>
    <row r="14" spans="1:26" ht="15.75" customHeight="1">
      <c r="A14" s="173"/>
      <c r="B14" s="126" t="s">
        <v>271</v>
      </c>
      <c r="C14" s="126" t="s">
        <v>272</v>
      </c>
      <c r="D14" s="126" t="s">
        <v>273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</row>
    <row r="15" spans="1:26" ht="31.5">
      <c r="A15" s="127" t="s">
        <v>278</v>
      </c>
      <c r="B15" s="128">
        <f>1/800</f>
        <v>1.25E-3</v>
      </c>
      <c r="C15" s="129">
        <f>EncARREGADO!C340</f>
        <v>4010.9886577374036</v>
      </c>
      <c r="D15" s="130">
        <f>C15*B15</f>
        <v>5.0137358221717543</v>
      </c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</row>
    <row r="16" spans="1:26" ht="31.5">
      <c r="A16" s="127" t="s">
        <v>279</v>
      </c>
      <c r="B16" s="128">
        <f>1/1200</f>
        <v>8.3333333333333339E-4</v>
      </c>
      <c r="C16" s="129">
        <f>EncARREGADO!C340</f>
        <v>4010.9886577374036</v>
      </c>
      <c r="D16" s="130">
        <f>C16*B16</f>
        <v>3.3424905481145033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</row>
    <row r="17" spans="1:26" ht="15.75" customHeight="1">
      <c r="A17" s="131" t="s">
        <v>276</v>
      </c>
      <c r="B17" s="132">
        <f>SUM(B15:B16)</f>
        <v>2.0833333333333333E-3</v>
      </c>
      <c r="C17" s="133">
        <f>C16</f>
        <v>4010.9886577374036</v>
      </c>
      <c r="D17" s="133">
        <f>SUM(D15:D16)</f>
        <v>8.356226370286258</v>
      </c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</row>
    <row r="18" spans="1:26" ht="15.75" customHeight="1">
      <c r="A18" s="122"/>
      <c r="B18" s="122"/>
      <c r="C18" s="122"/>
      <c r="D18" s="122"/>
      <c r="F18" s="122"/>
      <c r="G18" s="122"/>
      <c r="H18" s="57"/>
      <c r="I18" s="57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</row>
    <row r="19" spans="1:26" ht="8.25" customHeight="1">
      <c r="A19" s="134"/>
      <c r="B19" s="134"/>
      <c r="C19" s="134"/>
      <c r="D19" s="134"/>
      <c r="E19" s="134"/>
      <c r="F19" s="134"/>
      <c r="G19" s="134"/>
      <c r="H19" s="57"/>
      <c r="I19" s="57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</row>
    <row r="20" spans="1:26" ht="15.75" customHeight="1">
      <c r="A20" s="135"/>
      <c r="B20" s="57"/>
      <c r="C20" s="57"/>
      <c r="D20" s="57"/>
      <c r="E20" s="57"/>
      <c r="F20" s="57"/>
      <c r="G20" s="57"/>
      <c r="H20" s="57"/>
      <c r="I20" s="57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</row>
    <row r="21" spans="1:26" ht="26.25">
      <c r="A21" s="174" t="s">
        <v>280</v>
      </c>
      <c r="B21" s="174"/>
      <c r="C21" s="174"/>
      <c r="D21" s="174"/>
      <c r="E21" s="174"/>
      <c r="F21" s="174"/>
      <c r="G21" s="174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26" ht="15.75" customHeight="1">
      <c r="A22" s="175" t="s">
        <v>281</v>
      </c>
      <c r="B22" s="175"/>
      <c r="C22" s="175"/>
      <c r="D22" s="175"/>
      <c r="E22" s="175"/>
      <c r="F22" s="175"/>
      <c r="G22" s="175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</row>
    <row r="23" spans="1:26" ht="47.25">
      <c r="A23" s="136" t="s">
        <v>282</v>
      </c>
      <c r="B23" s="137" t="s">
        <v>283</v>
      </c>
      <c r="C23" s="138" t="s">
        <v>284</v>
      </c>
      <c r="D23" s="137" t="s">
        <v>285</v>
      </c>
      <c r="E23" s="139" t="s">
        <v>286</v>
      </c>
      <c r="F23" s="176" t="s">
        <v>287</v>
      </c>
      <c r="G23" s="176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</row>
    <row r="24" spans="1:26" ht="15.75" customHeight="1">
      <c r="A24" s="128" t="s">
        <v>288</v>
      </c>
      <c r="B24" s="140">
        <f>D15</f>
        <v>5.0137358221717543</v>
      </c>
      <c r="C24" s="141">
        <v>80690.73</v>
      </c>
      <c r="D24" s="177">
        <v>447</v>
      </c>
      <c r="E24" s="178">
        <v>3438.66</v>
      </c>
      <c r="F24" s="179">
        <f>E24*D24</f>
        <v>1537081.02</v>
      </c>
      <c r="G24" s="179"/>
      <c r="H24" s="122"/>
      <c r="I24" s="14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</row>
    <row r="25" spans="1:26" ht="15.75" customHeight="1">
      <c r="A25" s="128" t="s">
        <v>289</v>
      </c>
      <c r="B25" s="140">
        <f>D16</f>
        <v>3.3424905481145033</v>
      </c>
      <c r="C25" s="141">
        <v>86299.92</v>
      </c>
      <c r="D25" s="177"/>
      <c r="E25" s="177"/>
      <c r="F25" s="179"/>
      <c r="G25" s="179"/>
      <c r="H25" s="143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</row>
    <row r="26" spans="1:26" ht="15.75" customHeight="1">
      <c r="A26" s="144" t="s">
        <v>290</v>
      </c>
      <c r="B26" s="129">
        <v>4.18</v>
      </c>
      <c r="C26" s="141">
        <v>80690.73</v>
      </c>
      <c r="D26" s="180">
        <v>1</v>
      </c>
      <c r="E26" s="178">
        <v>4010.99</v>
      </c>
      <c r="F26" s="181">
        <f>E26*D26</f>
        <v>4010.99</v>
      </c>
      <c r="G26" s="181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</row>
    <row r="27" spans="1:26" ht="33" customHeight="1">
      <c r="A27" s="145" t="s">
        <v>291</v>
      </c>
      <c r="B27" s="129">
        <f>D16</f>
        <v>3.3424905481145033</v>
      </c>
      <c r="C27" s="141">
        <v>86299.92</v>
      </c>
      <c r="D27" s="180"/>
      <c r="E27" s="180"/>
      <c r="F27" s="181"/>
      <c r="G27" s="181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</row>
    <row r="28" spans="1:26" ht="15.75" customHeight="1">
      <c r="A28" s="146"/>
      <c r="B28" s="147"/>
      <c r="C28" s="147"/>
      <c r="D28" s="182" t="s">
        <v>292</v>
      </c>
      <c r="E28" s="182"/>
      <c r="F28" s="183">
        <f>SUM(F24:G27)</f>
        <v>1541092.01</v>
      </c>
      <c r="G28" s="183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</row>
    <row r="29" spans="1:26" s="148" customFormat="1" ht="15.75" customHeight="1">
      <c r="A29" s="146"/>
      <c r="B29" s="147"/>
      <c r="C29" s="147"/>
      <c r="D29" s="184" t="s">
        <v>293</v>
      </c>
      <c r="E29" s="184"/>
      <c r="F29" s="183">
        <f>F28*12</f>
        <v>18493104.120000001</v>
      </c>
      <c r="G29" s="183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</row>
    <row r="30" spans="1:26" ht="15.75" customHeight="1">
      <c r="A30" s="185" t="s">
        <v>294</v>
      </c>
      <c r="B30" s="185"/>
      <c r="C30" s="185"/>
      <c r="D30" s="185" t="s">
        <v>295</v>
      </c>
      <c r="E30" s="185"/>
      <c r="F30" s="186" t="s">
        <v>296</v>
      </c>
      <c r="G30" s="186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1:26" ht="15.75" customHeight="1">
      <c r="A31" s="149" t="s">
        <v>297</v>
      </c>
      <c r="B31" s="150"/>
      <c r="C31" s="150"/>
      <c r="D31" s="187">
        <v>1734203.52</v>
      </c>
      <c r="E31" s="187"/>
      <c r="F31" s="188">
        <f>D31</f>
        <v>1734203.52</v>
      </c>
      <c r="G31" s="188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</row>
    <row r="32" spans="1:26" ht="15.75" customHeight="1">
      <c r="A32" s="151" t="s">
        <v>298</v>
      </c>
      <c r="B32" s="152"/>
      <c r="C32" s="152"/>
      <c r="D32" s="187">
        <f>F32/12</f>
        <v>12303.633333333333</v>
      </c>
      <c r="E32" s="187"/>
      <c r="F32" s="188">
        <f>'Anexo IV'!E43</f>
        <v>147643.6</v>
      </c>
      <c r="G32" s="188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</row>
    <row r="33" spans="1:26" ht="15.75" hidden="1" customHeight="1">
      <c r="A33" s="151" t="s">
        <v>299</v>
      </c>
      <c r="B33" s="152"/>
      <c r="C33" s="152"/>
      <c r="D33" s="187">
        <f>F33/12</f>
        <v>0</v>
      </c>
      <c r="E33" s="187"/>
      <c r="F33" s="188"/>
      <c r="G33" s="188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</row>
    <row r="34" spans="1:26" ht="15.75" customHeight="1">
      <c r="A34" s="151" t="s">
        <v>299</v>
      </c>
      <c r="B34" s="152"/>
      <c r="C34" s="152"/>
      <c r="D34" s="187">
        <f>F34/12</f>
        <v>32278.987499999999</v>
      </c>
      <c r="E34" s="187"/>
      <c r="F34" s="188">
        <f>'Anexo IV'!E55</f>
        <v>387347.85</v>
      </c>
      <c r="G34" s="188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</row>
    <row r="35" spans="1:26" ht="15.75" customHeight="1">
      <c r="A35" s="189" t="s">
        <v>300</v>
      </c>
      <c r="B35" s="189"/>
      <c r="C35" s="189"/>
      <c r="D35" s="189"/>
      <c r="E35" s="153"/>
      <c r="F35" s="190">
        <f>F28*12+F31+F34+F32</f>
        <v>20762299.090000004</v>
      </c>
      <c r="G35" s="190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</row>
    <row r="36" spans="1:26" ht="15.75" customHeight="1">
      <c r="A36" s="122"/>
      <c r="B36" s="154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>
      <c r="A37" s="155"/>
      <c r="B37" s="156"/>
      <c r="C37" s="155"/>
      <c r="D37" s="155"/>
      <c r="E37" s="155"/>
      <c r="F37" s="155"/>
      <c r="G37" s="155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</row>
    <row r="38" spans="1:26" ht="33" customHeight="1">
      <c r="A38" s="122"/>
      <c r="B38" s="154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</row>
    <row r="39" spans="1:26" ht="25.5" customHeight="1">
      <c r="A39" s="191" t="s">
        <v>301</v>
      </c>
      <c r="B39" s="191"/>
      <c r="C39" s="191"/>
      <c r="D39" s="191"/>
      <c r="E39" s="191"/>
      <c r="F39" s="191"/>
      <c r="G39" s="191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</row>
    <row r="40" spans="1:26" ht="31.5">
      <c r="A40" s="158" t="s">
        <v>302</v>
      </c>
      <c r="B40" s="158" t="s">
        <v>303</v>
      </c>
      <c r="C40" s="158" t="s">
        <v>304</v>
      </c>
      <c r="D40" s="158" t="s">
        <v>223</v>
      </c>
      <c r="E40" s="158" t="s">
        <v>305</v>
      </c>
      <c r="F40" s="158" t="s">
        <v>306</v>
      </c>
      <c r="G40" s="158" t="s">
        <v>307</v>
      </c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</row>
    <row r="41" spans="1:26" ht="15.75" customHeight="1">
      <c r="A41" s="192">
        <v>1</v>
      </c>
      <c r="B41" s="193" t="s">
        <v>308</v>
      </c>
      <c r="C41" s="192" t="s">
        <v>309</v>
      </c>
      <c r="D41" s="192" t="s">
        <v>310</v>
      </c>
      <c r="E41" s="192">
        <v>1</v>
      </c>
      <c r="F41" s="192"/>
      <c r="G41" s="19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</row>
    <row r="42" spans="1:26" ht="15.75" customHeight="1">
      <c r="A42" s="192"/>
      <c r="B42" s="192"/>
      <c r="C42" s="192"/>
      <c r="D42" s="192"/>
      <c r="E42" s="192"/>
      <c r="F42" s="192"/>
      <c r="G42" s="19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</row>
    <row r="43" spans="1:26" ht="15.75" customHeight="1">
      <c r="A43" s="192"/>
      <c r="B43" s="192"/>
      <c r="C43" s="192"/>
      <c r="D43" s="192"/>
      <c r="E43" s="192"/>
      <c r="F43" s="192"/>
      <c r="G43" s="19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</row>
    <row r="44" spans="1:26" ht="15.75" customHeight="1">
      <c r="A44" s="192"/>
      <c r="B44" s="192"/>
      <c r="C44" s="192"/>
      <c r="D44" s="192"/>
      <c r="E44" s="192"/>
      <c r="F44" s="192"/>
      <c r="G44" s="19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</row>
    <row r="45" spans="1:26" ht="191.25" customHeight="1">
      <c r="A45" s="192"/>
      <c r="B45" s="192"/>
      <c r="C45" s="192"/>
      <c r="D45" s="192"/>
      <c r="E45" s="192"/>
      <c r="F45" s="192"/>
      <c r="G45" s="19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</row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9">
    <mergeCell ref="F41:F45"/>
    <mergeCell ref="G41:G45"/>
    <mergeCell ref="A41:A45"/>
    <mergeCell ref="B41:B45"/>
    <mergeCell ref="C41:C45"/>
    <mergeCell ref="D41:D45"/>
    <mergeCell ref="E41:E45"/>
    <mergeCell ref="D34:E34"/>
    <mergeCell ref="F34:G34"/>
    <mergeCell ref="A35:D35"/>
    <mergeCell ref="F35:G35"/>
    <mergeCell ref="A39:G39"/>
    <mergeCell ref="D31:E31"/>
    <mergeCell ref="F31:G31"/>
    <mergeCell ref="D32:E32"/>
    <mergeCell ref="F32:G32"/>
    <mergeCell ref="D33:E33"/>
    <mergeCell ref="F33:G33"/>
    <mergeCell ref="D29:E29"/>
    <mergeCell ref="F29:G29"/>
    <mergeCell ref="A30:C30"/>
    <mergeCell ref="D30:E30"/>
    <mergeCell ref="F30:G30"/>
    <mergeCell ref="D26:D27"/>
    <mergeCell ref="E26:E27"/>
    <mergeCell ref="F26:G27"/>
    <mergeCell ref="D28:E28"/>
    <mergeCell ref="F28:G28"/>
    <mergeCell ref="A21:G21"/>
    <mergeCell ref="A22:G22"/>
    <mergeCell ref="F23:G23"/>
    <mergeCell ref="D24:D25"/>
    <mergeCell ref="E24:E25"/>
    <mergeCell ref="F24:G25"/>
    <mergeCell ref="A2:G2"/>
    <mergeCell ref="A3:D3"/>
    <mergeCell ref="A4:A6"/>
    <mergeCell ref="A11:D11"/>
    <mergeCell ref="A12:A14"/>
  </mergeCells>
  <pageMargins left="0.51180555555555496" right="0.51180555555555496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2:C10"/>
  <sheetViews>
    <sheetView workbookViewId="0">
      <selection activeCell="A2" sqref="A2"/>
    </sheetView>
  </sheetViews>
  <sheetFormatPr defaultRowHeight="15"/>
  <cols>
    <col min="1" max="1" width="40.42578125"/>
    <col min="2" max="2" width="13.7109375"/>
    <col min="3" max="3" width="11"/>
    <col min="4" max="1025" width="8.42578125"/>
  </cols>
  <sheetData>
    <row r="2" spans="1:3">
      <c r="A2" s="194" t="s">
        <v>311</v>
      </c>
      <c r="B2" s="194"/>
    </row>
    <row r="3" spans="1:3">
      <c r="A3" s="159" t="s">
        <v>312</v>
      </c>
      <c r="B3" s="160">
        <v>20762299.09</v>
      </c>
    </row>
    <row r="4" spans="1:3">
      <c r="A4" s="161" t="s">
        <v>313</v>
      </c>
      <c r="B4" s="162">
        <v>1730191.5908333301</v>
      </c>
    </row>
    <row r="5" spans="1:3">
      <c r="A5" s="161" t="s">
        <v>314</v>
      </c>
      <c r="B5" s="162">
        <v>5376310.2300000004</v>
      </c>
      <c r="C5" s="163"/>
    </row>
    <row r="6" spans="1:3">
      <c r="A6" s="161" t="s">
        <v>315</v>
      </c>
      <c r="B6" s="162">
        <f>B5/6</f>
        <v>896051.70500000007</v>
      </c>
    </row>
    <row r="7" spans="1:3">
      <c r="A7" s="161" t="s">
        <v>316</v>
      </c>
      <c r="B7" s="162">
        <f>B4*3.5</f>
        <v>6055670.567916655</v>
      </c>
    </row>
    <row r="8" spans="1:3">
      <c r="A8" s="161" t="s">
        <v>317</v>
      </c>
      <c r="B8" s="164">
        <f>B6*3.5</f>
        <v>3136180.9675000003</v>
      </c>
    </row>
    <row r="9" spans="1:3">
      <c r="A9" s="161" t="s">
        <v>318</v>
      </c>
      <c r="B9" s="164">
        <f>B8-B7</f>
        <v>-2919489.6004166547</v>
      </c>
    </row>
    <row r="10" spans="1:3">
      <c r="A10" s="165" t="s">
        <v>319</v>
      </c>
      <c r="B10" s="166">
        <f>B4*1.5</f>
        <v>2595287.3862499949</v>
      </c>
    </row>
  </sheetData>
  <mergeCells count="1">
    <mergeCell ref="A2:B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LibreOffice/5.2.3.3$Windows_x86 LibreOffice_project/d54a8868f08a7b39642414cf2c8ef2f228f780cf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Servente E Enc.</vt:lpstr>
      <vt:lpstr>EncARREGADO</vt:lpstr>
      <vt:lpstr>Anexo IV</vt:lpstr>
      <vt:lpstr>Anexos II e III</vt:lpstr>
      <vt:lpstr>Plan1</vt:lpstr>
      <vt:lpstr>'Anexo IV'!OLE_LINK1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Eduardo Ademi Teixeira</dc:creator>
  <dc:description/>
  <cp:lastModifiedBy>Licitação</cp:lastModifiedBy>
  <cp:revision>2</cp:revision>
  <cp:lastPrinted>2021-08-13T12:19:32Z</cp:lastPrinted>
  <dcterms:created xsi:type="dcterms:W3CDTF">1601-01-01T00:00:00Z</dcterms:created>
  <dcterms:modified xsi:type="dcterms:W3CDTF">2021-10-04T18:21:52Z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